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4" rupBuild="9302"/>
  <workbookPr defaultThemeVersion="153222"/>
  <bookViews>
    <workbookView xWindow="-120" yWindow="-120" windowWidth="12240" windowHeight="9240" activeTab="2"/>
  </bookViews>
  <sheets>
    <sheet name="Master Sheet" sheetId="1" r:id="rId1"/>
    <sheet name="Deduction " sheetId="2" r:id="rId2"/>
    <sheet name="Ga55" sheetId="3" r:id="rId3"/>
    <sheet name="Computation " sheetId="4" r:id="rId4"/>
  </sheets>
  <definedNames>
    <definedName name="_xlnm.Print_Area" localSheetId="3">'Computation '!$A$1:$O$68</definedName>
    <definedName name="_xlnm.Print_Area" localSheetId="2">'Ga55'!$A$1:$W$30</definedName>
  </definedNames>
  <calcPr calcId="145621"/>
</workbook>
</file>

<file path=xl/sharedStrings.xml><?xml version="1.0" encoding="utf-8"?>
<sst xmlns="http://schemas.openxmlformats.org/spreadsheetml/2006/main" uniqueCount="207" count="207">
  <si>
    <r>
      <rPr>
        <sz val="14"/>
        <color rgb="FF000000"/>
        <rFont val="Calibri"/>
      </rPr>
      <t>Signature of Employee</t>
    </r>
  </si>
  <si>
    <r>
      <rPr>
        <sz val="14"/>
        <color rgb="FF000000"/>
        <rFont val="Calibri"/>
      </rPr>
      <t>Signature of DDO</t>
    </r>
  </si>
  <si>
    <t>Regular Pay</t>
  </si>
  <si>
    <t>NAME OF OFFICE :</t>
  </si>
  <si>
    <t>NAME OF EMPLOYEE :</t>
  </si>
  <si>
    <t>EMPLOYEE ID:</t>
  </si>
  <si>
    <t>GPF NO:</t>
  </si>
  <si>
    <t>SI NO.:</t>
  </si>
  <si>
    <t>:मार्च की बैसिक भरे:</t>
  </si>
  <si>
    <t>क्या आपने  समर्पित अवकाश लिया:</t>
  </si>
  <si>
    <t>यदि हा तो माह का चयन करे:</t>
  </si>
  <si>
    <t>DESIGNATION :</t>
  </si>
  <si>
    <t>DDO NAME:</t>
  </si>
  <si>
    <t>ACCOUNT NO.:</t>
  </si>
  <si>
    <t xml:space="preserve">SELECT GAZETTED/NON GAZETTED: </t>
  </si>
  <si>
    <t>GIS:</t>
  </si>
  <si>
    <t>Select FIX Pay/Regular Pay:</t>
  </si>
  <si>
    <t>माह वार काटा गया आयकर भरे:</t>
  </si>
  <si>
    <t xml:space="preserve"> वेतन से काटी जाने वाली SI भरे:</t>
  </si>
  <si>
    <t>GPF LOAN भरे:</t>
  </si>
  <si>
    <t>कुल आयकर:</t>
  </si>
  <si>
    <t xml:space="preserve"> Posting Place:</t>
  </si>
  <si>
    <t>Name Of Office:</t>
  </si>
  <si>
    <t>RAMESH KUMAR MEENA</t>
  </si>
  <si>
    <t>AAAAA1234A</t>
  </si>
  <si>
    <t>PAN NO.:</t>
  </si>
  <si>
    <t>क्या आपको बोनस मिला:</t>
  </si>
  <si>
    <t>"Old Tax Regime "के लिये "Yes"का चयन करे अन्यथा "No" का चयन करे:</t>
  </si>
  <si>
    <t xml:space="preserve">( कर निर्धारण वर्ष )- </t>
  </si>
  <si>
    <t>यदि आप मकान किराये मे छूट चाहते है तो राशि भरे:</t>
  </si>
  <si>
    <t>A/C NO.:-</t>
  </si>
  <si>
    <t>Name Of Office:-</t>
  </si>
  <si>
    <t>HRA का चयन करे:</t>
  </si>
  <si>
    <t xml:space="preserve">                       Present By:</t>
  </si>
  <si>
    <t>Contact number:-9462709937</t>
  </si>
  <si>
    <t>LIC की किस्त जो वेतन काटी जाती है:</t>
  </si>
  <si>
    <t>SI LOAN की किस्त भरे:</t>
  </si>
  <si>
    <t>ट्यूशन फीस</t>
  </si>
  <si>
    <t>EMP.ID</t>
  </si>
  <si>
    <t>GPF NO.</t>
  </si>
  <si>
    <t>Salary arrear</t>
  </si>
  <si>
    <t>आयकर गणना प्रपत्र वर्ष -</t>
  </si>
  <si>
    <t>नाम कर्मचारी :-</t>
  </si>
  <si>
    <t>पद :-</t>
  </si>
  <si>
    <t>PAN :</t>
  </si>
  <si>
    <t>रु.</t>
  </si>
  <si>
    <t>गृह किराया धारा 10 (13-A) के अंतर्गत व धारा  10(14) के अंतर्गत भत्ते  तथा अन्य भत्ते जो कर मुक्त है I</t>
  </si>
  <si>
    <t xml:space="preserve">शेष ( 2-3) </t>
  </si>
  <si>
    <t xml:space="preserve">  (i) मनोरंजन भत्ता धारा  16  (ii) के अंतर्गत </t>
  </si>
  <si>
    <t xml:space="preserve"> (ii) व्यवसाय कर  धारा  16  (iii)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</si>
  <si>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</si>
  <si>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</si>
  <si>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</si>
  <si>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</si>
  <si>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>किराये का 30%</t>
  </si>
  <si>
    <t xml:space="preserve">गृह ऋण पर ब्याज </t>
  </si>
  <si>
    <t xml:space="preserve">गृह कर </t>
  </si>
  <si>
    <t>योग 7 (ब)</t>
  </si>
  <si>
    <t xml:space="preserve">शेष -/+  (7 (अ)  एवं योग 7 (ब) का ) :- </t>
  </si>
  <si>
    <t xml:space="preserve">बचत खाते पर ब्याज : </t>
  </si>
  <si>
    <t>अन्य स्रोत से आय :</t>
  </si>
  <si>
    <t xml:space="preserve">कुल शेष - / + (6 एवं 7) :- </t>
  </si>
  <si>
    <t xml:space="preserve">एफडी व अन्य आय पर प्राप्त ब्याज राशि </t>
  </si>
  <si>
    <t xml:space="preserve">Bonds से प्राप्त ब्याज </t>
  </si>
  <si>
    <t xml:space="preserve">योग (8 + 9)  </t>
  </si>
  <si>
    <t xml:space="preserve">सकल आय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</si>
  <si>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</si>
  <si>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</si>
  <si>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(i)</t>
  </si>
  <si>
    <t>राज्य बीमा (SI)</t>
  </si>
  <si>
    <t>(xi)</t>
  </si>
  <si>
    <t>पेंशन योजना में योगदान  ECPF धारा  80ccd(1)</t>
  </si>
  <si>
    <t>(ii)</t>
  </si>
  <si>
    <t>L.I.C.</t>
  </si>
  <si>
    <t>(xii)</t>
  </si>
  <si>
    <t>पेंशन प्लान हेतु योगदान  (धारा 80ccc)</t>
  </si>
  <si>
    <t>(iii)</t>
  </si>
  <si>
    <t>राष्ट्रीय बचत पत्र (NSC)</t>
  </si>
  <si>
    <t>(xiii)</t>
  </si>
  <si>
    <t xml:space="preserve">राष्ट्रीय बचत पत्र पर अदत ब्याज </t>
  </si>
  <si>
    <t>(iv)</t>
  </si>
  <si>
    <t>लोक भविष्य निधि (PPF)</t>
  </si>
  <si>
    <t>(xiv)</t>
  </si>
  <si>
    <t>टियुशन फ़ीस</t>
  </si>
  <si>
    <t>(v)</t>
  </si>
  <si>
    <t>राष्ट्रीय बचत पत्र स्कीम (NSS)</t>
  </si>
  <si>
    <t>(xv)</t>
  </si>
  <si>
    <t xml:space="preserve">इक्विटी लिंक सेविंग स्कीम </t>
  </si>
  <si>
    <t>(vi)</t>
  </si>
  <si>
    <t>(xvi)</t>
  </si>
  <si>
    <t>स्थगत वार्षिकी (Defferred Annuty)</t>
  </si>
  <si>
    <t>(vii)</t>
  </si>
  <si>
    <t>सामूहिक बीमा प्रीमियम  (G.Ins.)</t>
  </si>
  <si>
    <t>(xvii)</t>
  </si>
  <si>
    <t>पी.एल.आई . (PLI)</t>
  </si>
  <si>
    <t>(viii)</t>
  </si>
  <si>
    <t xml:space="preserve">यू एल आई पी / वार्षिक प्लान </t>
  </si>
  <si>
    <t>(xviii)</t>
  </si>
  <si>
    <t xml:space="preserve">म्यूच्यूअल फण्ड व अन्य राशि जो धारा 80 C के अंतर्गत छुट  </t>
  </si>
  <si>
    <t>(ix)</t>
  </si>
  <si>
    <t>गृह ऋण किस्त (HBA Premium)</t>
  </si>
  <si>
    <t>(xix)</t>
  </si>
  <si>
    <t>सुकन्या समृद्धि योजना में जमा राशि</t>
  </si>
  <si>
    <t>(x)</t>
  </si>
  <si>
    <t>जीवन बीमा  (Extra LIC)</t>
  </si>
  <si>
    <t>(xx)</t>
  </si>
  <si>
    <t>अन्य व फिक्स डिपोजिट  (5 वर्ष हेतु )</t>
  </si>
  <si>
    <t>(xxi)</t>
  </si>
  <si>
    <t>उपरोक्त के अलावा अन्य कटोती (Other Ded.)</t>
  </si>
  <si>
    <t>योग  ( i से xxi )</t>
  </si>
  <si>
    <t xml:space="preserve">अधिकतम कटोती राशि 1.50 लाख तक :- 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</si>
  <si>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</si>
  <si>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(B) घटाइये - धारा  80CCD (1B) नवीन पेंशन योजना में अतिरिक्त अंशदान  (अधिकतम 50,000 रु. )</t>
  </si>
  <si>
    <t xml:space="preserve">योग 11(A+B)     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</si>
  <si>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</si>
  <si>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</si>
  <si>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</si>
  <si>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</si>
  <si>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</si>
  <si>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</si>
  <si>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</si>
  <si>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</si>
  <si>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</si>
  <si>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योग 12 ( 1 से 8 तक 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</si>
  <si>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</si>
  <si>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</si>
  <si>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</si>
  <si>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</si>
  <si>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</si>
  <si>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</si>
  <si>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</si>
  <si>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 xml:space="preserve">(1) योग आयकर </t>
  </si>
  <si>
    <t>(3) शेष आयकर  (1-2)</t>
  </si>
  <si>
    <t>4)</t>
  </si>
  <si>
    <t>शिक्षा एवं चिकित्सा उपकर  4% (आयकर पर 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</si>
  <si>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</si>
  <si>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</si>
  <si>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</si>
  <si>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का विवरण </t>
  </si>
  <si>
    <t xml:space="preserve">टी.डी.एस. 
की राशि </t>
  </si>
  <si>
    <t xml:space="preserve">कुलयोग कॉलम 19 </t>
  </si>
  <si>
    <t>सामान्य प्रावधायी निधि  GPF) / GPF - 2004</t>
  </si>
  <si>
    <t xml:space="preserve">हस्ताक्षर कार्मिक </t>
  </si>
  <si>
    <t xml:space="preserve">NON GAZETTED </t>
  </si>
  <si>
    <t>Employee Name :-</t>
  </si>
  <si>
    <t>Posting Place :-</t>
  </si>
  <si>
    <t>PAN No. :-</t>
  </si>
  <si>
    <t>SI No.</t>
  </si>
  <si>
    <t>Pay received</t>
  </si>
  <si>
    <t>Deducations</t>
  </si>
  <si>
    <t>NET PAY</t>
  </si>
  <si>
    <t>S.N.</t>
  </si>
  <si>
    <t>Month</t>
  </si>
  <si>
    <t>Basic With Grade Pay</t>
  </si>
  <si>
    <t>DA</t>
  </si>
  <si>
    <t>HRA</t>
  </si>
  <si>
    <t>Wash All.</t>
  </si>
  <si>
    <t>Handi. All.</t>
  </si>
  <si>
    <t>CCA</t>
  </si>
  <si>
    <t>Bonus</t>
  </si>
  <si>
    <t>ROP</t>
  </si>
  <si>
    <t>TOTAL</t>
  </si>
  <si>
    <t>SI</t>
  </si>
  <si>
    <t>GPF</t>
  </si>
  <si>
    <t>RGHS</t>
  </si>
  <si>
    <t>SI Loan</t>
  </si>
  <si>
    <t>GPF Loan</t>
  </si>
  <si>
    <t>SI Int.</t>
  </si>
  <si>
    <t>HITKARI NIDHI</t>
  </si>
  <si>
    <t>Income Tax</t>
  </si>
  <si>
    <t>Group Ins.</t>
  </si>
  <si>
    <t>Total Ded.</t>
  </si>
  <si>
    <t>PL Surrender</t>
  </si>
  <si>
    <t>Fixation arear</t>
  </si>
  <si>
    <t>PL Surrender Arrear</t>
  </si>
  <si>
    <t xml:space="preserve">प्राप्त किराया की राशि </t>
  </si>
  <si>
    <t>गृह कर</t>
  </si>
  <si>
    <t xml:space="preserve">अन्य स्त्रोत से आय </t>
  </si>
  <si>
    <t>गृह ऋण की किश्त</t>
  </si>
  <si>
    <t>RJXX123456789123</t>
  </si>
  <si>
    <t>No</t>
  </si>
  <si>
    <r>
      <t xml:space="preserve">TOTAL </t>
    </r>
    <r>
      <rPr>
        <b/>
        <charset val="2"/>
        <sz val="11"/>
        <color rgb="FF000000"/>
        <rFont val="Wingdings"/>
      </rPr>
      <t>F</t>
    </r>
  </si>
  <si>
    <t>2025-2026</t>
  </si>
  <si>
    <t>GOVT.PRAVESHIKA SANSKRIT SCHOOL ,GUARA THALI</t>
  </si>
  <si>
    <t>GUPSS TOLUPURA</t>
  </si>
  <si>
    <t xml:space="preserve"> (iii) स्टैण्डर्ड डीडेक्सन (Standard Deduction)  New Tax Regime=75000 Or Old Tax Regime=50000</t>
  </si>
  <si>
    <t>Sr.Teacher</t>
  </si>
  <si>
    <t xml:space="preserve">सितम्बर  2024
तक कुल राशि </t>
  </si>
  <si>
    <t xml:space="preserve">अक्टूम्बर 24 से दिसम्बर 24
तक कुल राशि </t>
  </si>
  <si>
    <t xml:space="preserve">फरवरी 2025
राशि </t>
  </si>
  <si>
    <t xml:space="preserve">जनवरी 2025
राशि </t>
  </si>
  <si>
    <t xml:space="preserve">        GUPSS TOLUPURA</t>
  </si>
  <si>
    <t>RAMESH KUMAR MEENA(Sr. Teacher)</t>
  </si>
  <si>
    <t xml:space="preserve">            JAMWARAMGARH  JAIPUR </t>
  </si>
  <si>
    <t>YES</t>
  </si>
  <si>
    <t>DA Arrear Jul.25 to sep.25</t>
  </si>
  <si>
    <t>Nov.25</t>
  </si>
  <si>
    <t>DA Arrear Jan.25to Mar.25</t>
  </si>
  <si>
    <t>2026-2027</t>
  </si>
  <si>
    <t xml:space="preserve">आय : वर्ष  2025-26  में प्राप्त कुल आय ( कर योग्य मूल्यों सहित ) </t>
  </si>
  <si>
    <t>ANIL KUMAR MEENA</t>
  </si>
  <si>
    <t>Yes</t>
  </si>
  <si>
    <t xml:space="preserve">सितम्बर  2025
तक कुल राशि </t>
  </si>
  <si>
    <t xml:space="preserve">अक्टूम्बर 25से दिसम्बर 25
तक कुल राशि </t>
  </si>
  <si>
    <t xml:space="preserve">जनवरी 2026
राशि </t>
  </si>
  <si>
    <t xml:space="preserve">फरवरी 2026
राशि </t>
  </si>
  <si>
    <t>mahendra kumar</t>
  </si>
</sst>
</file>

<file path=xl/styles.xml><?xml version="1.0" encoding="utf-8"?>
<styleSheet xmlns="http://schemas.openxmlformats.org/spreadsheetml/2006/main">
  <numFmts count="5">
    <numFmt numFmtId="0" formatCode="General"/>
    <numFmt numFmtId="9" formatCode="0%"/>
    <numFmt numFmtId="1" formatCode="0"/>
    <numFmt numFmtId="164" formatCode="[$-409]mmm/yy;@"/>
    <numFmt numFmtId="2" formatCode="0.00"/>
  </numFmts>
  <fonts count="49">
    <font>
      <name val="Arial"/>
      <sz val="11"/>
    </font>
    <font>
      <name val="Arial"/>
      <sz val="11"/>
    </font>
    <font>
      <name val="Arial"/>
      <sz val="16"/>
    </font>
    <font>
      <name val="Arial"/>
      <sz val="11"/>
    </font>
    <font>
      <name val="Arial"/>
      <b/>
      <sz val="14"/>
    </font>
    <font>
      <name val="Arial"/>
      <b/>
      <sz val="16"/>
    </font>
    <font>
      <name val="Arial"/>
      <b/>
      <sz val="12"/>
    </font>
    <font>
      <name val="Arial"/>
      <b/>
      <sz val="14"/>
    </font>
    <font>
      <name val="Arial"/>
      <b/>
      <sz val="12"/>
    </font>
    <font>
      <name val="Arial"/>
      <b/>
      <sz val="16"/>
    </font>
    <font>
      <name val="Arial"/>
      <b/>
      <sz val="18"/>
    </font>
    <font>
      <name val="Arial"/>
      <b/>
      <sz val="12"/>
      <color rgb="FFFFFFFF"/>
    </font>
    <font>
      <name val="Arial"/>
      <sz val="11"/>
    </font>
    <font>
      <name val="Arial"/>
      <b/>
      <sz val="16"/>
      <color rgb="FFFFFFFF"/>
    </font>
    <font>
      <name val="Arial"/>
      <sz val="16"/>
      <color rgb="FFFFFFFF"/>
    </font>
    <font>
      <name val="Arial"/>
      <b/>
      <u/>
      <sz val="11"/>
      <color indexed="20"/>
    </font>
    <font>
      <name val="Arial"/>
      <sz val="11"/>
    </font>
    <font>
      <name val="Arial"/>
      <sz val="11"/>
    </font>
    <font>
      <name val="Arial"/>
      <sz val="11"/>
      <color rgb="FF002060"/>
    </font>
    <font>
      <name val="Calibri"/>
      <b/>
      <sz val="11"/>
      <color rgb="FFEDEDED"/>
    </font>
    <font>
      <name val="Arial"/>
      <b/>
      <sz val="11"/>
      <color rgb="FFEDEDED"/>
    </font>
    <font>
      <name val="Calibri"/>
      <b/>
      <sz val="12"/>
      <color rgb="FFFFFFFF"/>
    </font>
    <font>
      <name val="Arial"/>
      <b/>
      <sz val="22"/>
      <color rgb="FF002060"/>
    </font>
    <font>
      <name val="Calibri"/>
      <sz val="9"/>
      <color rgb="FF002060"/>
    </font>
    <font>
      <name val="Arial"/>
      <sz val="11"/>
    </font>
    <font>
      <name val="Arial"/>
      <b/>
      <i/>
      <sz val="12"/>
    </font>
    <font>
      <name val="Calibri"/>
      <b/>
      <i/>
      <sz val="16"/>
      <color rgb="FF000000"/>
    </font>
    <font>
      <name val="Calibri"/>
      <b/>
      <sz val="14"/>
      <color rgb="FF000000"/>
    </font>
    <font>
      <name val="Calibri"/>
      <b/>
      <sz val="13"/>
      <color rgb="FF000000"/>
    </font>
    <font>
      <name val="Calibri"/>
      <b/>
      <sz val="12"/>
      <color rgb="FF000000"/>
    </font>
    <font>
      <name val="Calibri"/>
      <b/>
      <sz val="11"/>
      <color rgb="FF000000"/>
    </font>
    <font>
      <name val="Arial"/>
      <b/>
      <sz val="11"/>
    </font>
    <font>
      <name val="Calibri"/>
      <b/>
      <i/>
      <sz val="14"/>
      <color rgb="FF000000"/>
    </font>
    <font>
      <name val="Calibri"/>
      <b/>
      <i/>
      <sz val="12"/>
      <color rgb="FF000000"/>
    </font>
    <font>
      <name val="Calibri"/>
      <sz val="14"/>
      <color rgb="FF000000"/>
    </font>
    <font>
      <name val="Arial"/>
      <sz val="11"/>
      <color rgb="FFFFFFFF"/>
    </font>
    <font>
      <name val="Arial"/>
      <sz val="11"/>
      <color rgb="FF36363D"/>
    </font>
    <font>
      <name val="Calibri"/>
      <sz val="9"/>
      <color rgb="FFFFFFFF"/>
    </font>
    <font>
      <name val="Arial"/>
      <sz val="11"/>
      <color rgb="FF000000"/>
    </font>
    <font>
      <name val="Calibri"/>
      <b/>
      <sz val="14"/>
      <color rgb="FF002060"/>
    </font>
    <font>
      <name val="Calibri"/>
      <b/>
      <sz val="12"/>
      <color rgb="FF002060"/>
    </font>
    <font>
      <name val="Calibri"/>
      <b/>
      <sz val="12"/>
      <color rgb="FF000099"/>
    </font>
    <font>
      <name val="Calibri"/>
      <b/>
      <sz val="11"/>
      <color rgb="FF002060"/>
    </font>
    <font>
      <name val="Cambria"/>
      <b/>
      <sz val="12"/>
      <color rgb="FF000099"/>
    </font>
    <font>
      <name val="Calibri"/>
      <b/>
      <sz val="11"/>
    </font>
    <font>
      <name val="Calibri"/>
      <b/>
      <sz val="11"/>
      <color rgb="FF990033"/>
    </font>
    <font>
      <name val="Calibri"/>
      <b/>
      <sz val="10"/>
    </font>
    <font>
      <name val="Arial"/>
      <b/>
      <sz val="11"/>
      <color rgb="FFFFFFFF"/>
    </font>
    <font>
      <name val="Calibri"/>
      <b/>
      <sz val="12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7030A0"/>
      </patternFill>
    </fill>
    <fill>
      <patternFill patternType="solid">
        <fgColor rgb="FFFFE100"/>
      </patternFill>
    </fill>
    <fill>
      <patternFill patternType="solid">
        <fgColor rgb="FFCCFECC"/>
      </patternFill>
    </fill>
    <fill>
      <patternFill patternType="solid">
        <fgColor rgb="FF002060"/>
        <bgColor indexed="64"/>
      </patternFill>
    </fill>
    <fill>
      <patternFill patternType="solid">
        <fgColor rgb="FF3399FF"/>
      </patternFill>
    </fill>
    <fill>
      <patternFill patternType="solid">
        <fgColor rgb="FF002060"/>
      </patternFill>
    </fill>
    <fill>
      <patternFill patternType="solid">
        <fgColor rgb="FF3A3838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00"/>
      </patternFill>
    </fill>
    <fill>
      <patternFill patternType="solid">
        <fgColor rgb="FFFFFFFF"/>
        <bgColor rgb="FFFFFFFF"/>
      </patternFill>
    </fill>
  </fills>
  <borders count="116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  <border>
      <left style="thin">
        <color indexed="64"/>
      </left>
      <right style="thin">
        <color rgb="FFFFFFFF"/>
      </right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rgb="FF0000FF"/>
      </right>
      <top style="thin">
        <color rgb="FFFFFFFF"/>
      </top>
      <bottom style="thin">
        <color rgb="FFFFFFFF"/>
      </bottom>
      <diagonal/>
    </border>
    <border>
      <left style="thin">
        <color rgb="FF0000FF"/>
      </left>
      <right style="thin">
        <color rgb="FF0000FF"/>
      </right>
      <top style="thin">
        <color rgb="FFFFFFFF"/>
      </top>
      <bottom style="thin">
        <color rgb="FFFFFFFF"/>
      </bottom>
      <diagonal/>
    </border>
    <border>
      <left style="thin">
        <color rgb="FF0000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double">
        <color rgb="FFA01EC8"/>
      </left>
      <right/>
      <top style="double">
        <color rgb="FFA01EC8"/>
      </top>
      <bottom/>
      <diagonal/>
    </border>
    <border>
      <left style="thick">
        <color indexed="64"/>
      </left>
      <right/>
      <top style="double">
        <color rgb="FFA01EC8"/>
      </top>
      <bottom/>
      <diagonal/>
    </border>
    <border>
      <left/>
      <right/>
      <top style="double">
        <color rgb="FFA01EC8"/>
      </top>
      <bottom/>
      <diagonal/>
    </border>
    <border>
      <left/>
      <right style="double">
        <color rgb="FFA01EC8"/>
      </right>
      <top style="double">
        <color rgb="FFA01EC8"/>
      </top>
      <bottom/>
      <diagonal/>
    </border>
    <border>
      <left style="double">
        <color rgb="FFA01EC8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A01EC8"/>
      </right>
      <top/>
      <bottom/>
      <diagonal/>
    </border>
    <border>
      <left style="double">
        <color rgb="FFA01EC8"/>
      </left>
      <right/>
      <top/>
      <bottom style="thin">
        <color rgb="FFA01EC8"/>
      </bottom>
      <diagonal/>
    </border>
    <border>
      <left style="medium">
        <color rgb="FF000000"/>
      </left>
      <right/>
      <top/>
      <bottom style="thin">
        <color rgb="FFA01EC8"/>
      </bottom>
      <diagonal/>
    </border>
    <border>
      <left/>
      <right/>
      <top/>
      <bottom style="thin">
        <color rgb="FFA01EC8"/>
      </bottom>
      <diagonal/>
    </border>
    <border>
      <left/>
      <right style="double">
        <color rgb="FFA01EC8"/>
      </right>
      <top/>
      <bottom style="thin">
        <color rgb="FFA01EC8"/>
      </bottom>
      <diagonal/>
    </border>
    <border>
      <left style="double">
        <color rgb="FFA01EC8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A01EC8"/>
      </right>
      <top/>
      <bottom style="thin">
        <color rgb="FF000000"/>
      </bottom>
      <diagonal/>
    </border>
    <border>
      <left style="double">
        <color rgb="FFA01EC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A01EC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A01EC8"/>
      </right>
      <top/>
      <bottom style="thin">
        <color indexed="64"/>
      </bottom>
      <diagonal/>
    </border>
    <border>
      <left style="double">
        <color rgb="FFA01EC8"/>
      </left>
      <right style="thin">
        <color rgb="FF000000"/>
      </right>
      <top style="thin">
        <color rgb="FF000000"/>
      </top>
      <bottom style="thin">
        <color rgb="FFA01EC8"/>
      </bottom>
      <diagonal/>
    </border>
    <border>
      <left style="thin">
        <color rgb="FF000000"/>
      </left>
      <right/>
      <top style="thin">
        <color rgb="FF000000"/>
      </top>
      <bottom style="thin">
        <color rgb="FFA01EC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01EC8"/>
      </bottom>
      <diagonal/>
    </border>
    <border>
      <left style="thin">
        <color rgb="FF000000"/>
      </left>
      <right style="double">
        <color rgb="FFA01EC8"/>
      </right>
      <top style="thin">
        <color rgb="FF000000"/>
      </top>
      <bottom style="thin">
        <color rgb="FFA01EC8"/>
      </bottom>
      <diagonal/>
    </border>
    <border>
      <left style="double">
        <color rgb="FFA01EC8"/>
      </left>
      <right/>
      <top/>
      <bottom style="double">
        <color rgb="FFA01EC8"/>
      </bottom>
      <diagonal/>
    </border>
    <border>
      <left/>
      <right/>
      <top/>
      <bottom style="double">
        <color rgb="FFA01EC8"/>
      </bottom>
      <diagonal/>
    </border>
    <border>
      <left/>
      <right style="double">
        <color rgb="FFA01EC8"/>
      </right>
      <top/>
      <bottom style="double">
        <color rgb="FFA01EC8"/>
      </bottom>
      <diagonal/>
    </border>
    <border>
      <left/>
      <right/>
      <top style="thin">
        <color rgb="FFA01EC8"/>
      </top>
      <bottom/>
      <diagonal/>
    </border>
    <border>
      <left style="double">
        <color rgb="FF002060"/>
      </left>
      <right/>
      <top style="double">
        <color rgb="FF002060"/>
      </top>
      <bottom style="thin">
        <color rgb="FF002060"/>
      </bottom>
      <diagonal/>
    </border>
    <border>
      <left/>
      <right/>
      <top style="double">
        <color rgb="FF002060"/>
      </top>
      <bottom style="thin">
        <color rgb="FF002060"/>
      </bottom>
      <diagonal/>
    </border>
    <border>
      <left/>
      <right style="double">
        <color rgb="FF002060"/>
      </right>
      <top style="double">
        <color rgb="FF002060"/>
      </top>
      <bottom style="thin">
        <color rgb="FF002060"/>
      </bottom>
      <diagonal/>
    </border>
    <border>
      <left style="double">
        <color rgb="FF002060"/>
      </left>
      <right/>
      <top style="thin">
        <color rgb="FF002060"/>
      </top>
      <bottom style="thin">
        <color rgb="FF002060"/>
      </bottom>
      <diagonal/>
    </border>
    <border>
      <left style="thick">
        <color indexed="64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double">
        <color rgb="FF002060"/>
      </right>
      <top style="thin">
        <color rgb="FF002060"/>
      </top>
      <bottom style="thin">
        <color rgb="FF002060"/>
      </bottom>
      <diagonal/>
    </border>
    <border>
      <left style="double">
        <color rgb="FF002060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/>
      <bottom style="thin">
        <color rgb="FF0000FF"/>
      </bottom>
      <diagonal/>
    </border>
    <border>
      <left style="thin">
        <color rgb="FF0000FF"/>
      </left>
      <right style="double">
        <color rgb="FF002060"/>
      </right>
      <top/>
      <bottom style="thin">
        <color rgb="FF0000FF"/>
      </bottom>
      <diagonal/>
    </border>
    <border>
      <left style="double">
        <color rgb="FF002060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2060"/>
      </right>
      <top style="thin">
        <color rgb="FF0000FF"/>
      </top>
      <bottom style="thin">
        <color rgb="FF0000FF"/>
      </bottom>
      <diagonal/>
    </border>
    <border>
      <left style="double">
        <color rgb="FF002060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2060"/>
      </left>
      <right style="thin">
        <color rgb="FF0000FF"/>
      </right>
      <top style="thin">
        <color rgb="FF0000FF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indexed="64"/>
      </bottom>
      <diagonal/>
    </border>
    <border>
      <left style="thin">
        <color rgb="FF0000FF"/>
      </left>
      <right style="double">
        <color rgb="FF002060"/>
      </right>
      <top style="thin">
        <color rgb="FF0000FF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2060"/>
      </right>
      <top style="thin">
        <color rgb="FF0000FF"/>
      </top>
      <bottom style="thin">
        <color rgb="FF7030A0"/>
      </bottom>
      <diagonal/>
    </border>
    <border>
      <left style="thin">
        <color indexed="64"/>
      </left>
      <right style="double">
        <color rgb="FF000000"/>
      </right>
      <top/>
      <bottom style="thin">
        <color rgb="FF7030A0"/>
      </bottom>
      <diagonal/>
    </border>
    <border>
      <left style="thin">
        <color rgb="FF0000FF"/>
      </left>
      <right style="double">
        <color rgb="FF000000"/>
      </right>
      <top style="thin">
        <color rgb="FF7030A0"/>
      </top>
      <bottom style="thin">
        <color rgb="FF7030A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7030A0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7030A0"/>
      </bottom>
      <diagonal/>
    </border>
    <border>
      <left style="thin">
        <color rgb="FF000000"/>
      </left>
      <right style="double">
        <color rgb="FF000000"/>
      </right>
      <top/>
      <bottom style="thin">
        <color rgb="FF7030A0"/>
      </bottom>
      <diagonal/>
    </border>
    <border>
      <left style="double">
        <color rgb="FF002060"/>
      </left>
      <right/>
      <top style="thin">
        <color rgb="FF0000FF"/>
      </top>
      <bottom style="thin">
        <color rgb="FF0000FF"/>
      </bottom>
      <diagonal/>
    </border>
    <border>
      <left style="thin">
        <color rgb="FF00000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000000"/>
      </right>
      <top style="thin">
        <color rgb="FF7030A0"/>
      </top>
      <bottom style="thin">
        <color rgb="FF7030A0"/>
      </bottom>
      <diagonal/>
    </border>
    <border>
      <left style="thin">
        <color rgb="FF000000"/>
      </left>
      <right style="thin">
        <color rgb="FF000000"/>
      </right>
      <top style="thin">
        <color rgb="FF7030A0"/>
      </top>
      <bottom style="thin">
        <color rgb="FF7030A0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64"/>
      </left>
      <right style="double">
        <color rgb="FF000000"/>
      </right>
      <top/>
      <bottom style="thin">
        <color indexed="64"/>
      </bottom>
      <diagonal/>
    </border>
    <border>
      <left style="thin">
        <color rgb="FF0000FF"/>
      </left>
      <right style="double">
        <color rgb="FF000000"/>
      </right>
      <top/>
      <bottom style="thin">
        <color rgb="FF0000FF"/>
      </bottom>
      <diagonal/>
    </border>
    <border>
      <left style="thin">
        <color rgb="FF0000FF"/>
      </left>
      <right style="double">
        <color rgb="FF000000"/>
      </right>
      <top style="thin">
        <color rgb="FF0000FF"/>
      </top>
      <bottom style="thin">
        <color rgb="FF0000FF"/>
      </bottom>
      <diagonal/>
    </border>
    <border>
      <left style="double">
        <color rgb="FF002060"/>
      </left>
      <right style="thin">
        <color rgb="FF0000FF"/>
      </right>
      <top style="thin">
        <color rgb="FF0000FF"/>
      </top>
      <bottom style="thin">
        <color rgb="FF002060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206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2060"/>
      </bottom>
      <diagonal/>
    </border>
    <border>
      <left style="thin">
        <color rgb="FF0000FF"/>
      </left>
      <right style="double">
        <color rgb="FF000000"/>
      </right>
      <top style="thin">
        <color rgb="FF0000FF"/>
      </top>
      <bottom style="thin">
        <color rgb="FF002060"/>
      </bottom>
      <diagonal/>
    </border>
    <border>
      <left style="double">
        <color rgb="FF00206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2060"/>
      </left>
      <right/>
      <top/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/>
      <right style="double">
        <color rgb="FF000000"/>
      </right>
      <top/>
      <bottom style="double">
        <color rgb="FF002060"/>
      </bottom>
      <diagonal/>
    </border>
  </borders>
  <cellStyleXfs count="1">
    <xf numFmtId="0" fontId="0" fillId="0" borderId="0">
      <alignment vertical="center"/>
    </xf>
  </cellStyleXfs>
  <cellXfs count="290">
    <xf numFmtId="0" fontId="0" fillId="0" borderId="0" xfId="0">
      <alignment vertical="center"/>
    </xf>
    <xf numFmtId="0" fontId="1" fillId="2" borderId="0" xfId="0" applyFont="1" applyFill="1">
      <alignment vertical="center"/>
      <protection locked="0" hidden="0"/>
    </xf>
    <xf numFmtId="0" fontId="2" fillId="2" borderId="0" xfId="0" applyFont="1" applyFill="1">
      <alignment vertical="center"/>
      <protection locked="0" hidden="0"/>
    </xf>
    <xf numFmtId="0" fontId="1" fillId="3" borderId="1" xfId="0" applyFont="1" applyFill="1" applyBorder="1">
      <alignment vertical="center"/>
      <protection locked="0" hidden="0"/>
    </xf>
    <xf numFmtId="0" fontId="3" fillId="3" borderId="0" xfId="0" applyFont="1" applyFill="1" applyBorder="1">
      <alignment vertical="center"/>
      <protection locked="0" hidden="0"/>
    </xf>
    <xf numFmtId="0" fontId="2" fillId="3" borderId="0" xfId="0" applyFont="1" applyFill="1" applyBorder="1">
      <alignment vertical="center"/>
      <protection locked="0" hidden="0"/>
    </xf>
    <xf numFmtId="0" fontId="1" fillId="3" borderId="0" xfId="0" applyFont="1" applyFill="1">
      <alignment vertical="center"/>
      <protection locked="0" hidden="0"/>
    </xf>
    <xf numFmtId="0" fontId="4" fillId="4" borderId="2" xfId="0" applyFont="1" applyFill="1" applyBorder="1" applyAlignment="1">
      <alignment horizontal="right" vertical="center"/>
      <protection locked="0" hidden="0"/>
    </xf>
    <xf numFmtId="0" fontId="4" fillId="5" borderId="3" xfId="0" applyFont="1" applyFill="1" applyBorder="1">
      <alignment vertical="center"/>
      <protection locked="0" hidden="0"/>
    </xf>
    <xf numFmtId="0" fontId="5" fillId="4" borderId="2" xfId="0" applyFont="1" applyFill="1" applyBorder="1" applyAlignment="1">
      <alignment horizontal="right" vertical="center"/>
      <protection locked="0" hidden="0"/>
    </xf>
    <xf numFmtId="0" fontId="6" fillId="5" borderId="3" xfId="0" applyFont="1" applyFill="1" applyBorder="1" applyAlignment="1">
      <alignment horizontal="left" vertical="center"/>
      <protection locked="0" hidden="0"/>
    </xf>
    <xf numFmtId="0" fontId="4" fillId="4" borderId="4" xfId="0" applyFont="1" applyFill="1" applyBorder="1" applyAlignment="1">
      <alignment horizontal="right" vertical="center"/>
      <protection locked="0" hidden="0"/>
    </xf>
    <xf numFmtId="0" fontId="7" fillId="5" borderId="3" xfId="0" applyFont="1" applyFill="1" applyBorder="1">
      <alignment vertical="center"/>
      <protection locked="0" hidden="0"/>
    </xf>
    <xf numFmtId="0" fontId="5" fillId="4" borderId="4" xfId="0" applyFont="1" applyFill="1" applyBorder="1" applyAlignment="1">
      <alignment horizontal="right" vertical="center"/>
      <protection locked="0" hidden="0"/>
    </xf>
    <xf numFmtId="0" fontId="8" fillId="5" borderId="3" xfId="0" applyFont="1" applyFill="1" applyBorder="1" applyAlignment="1">
      <alignment horizontal="left" vertical="center"/>
      <protection locked="0" hidden="0"/>
    </xf>
    <xf numFmtId="0" fontId="4" fillId="5" borderId="3" xfId="0" applyFont="1" applyFill="1" applyBorder="1" applyAlignment="1">
      <alignment horizontal="left" vertical="center"/>
      <protection locked="0" hidden="0"/>
    </xf>
    <xf numFmtId="0" fontId="9" fillId="4" borderId="4" xfId="0" applyFont="1" applyFill="1" applyBorder="1" applyAlignment="1">
      <alignment horizontal="right" vertical="center"/>
      <protection locked="0" hidden="0"/>
    </xf>
    <xf numFmtId="0" fontId="7" fillId="4" borderId="4" xfId="0" applyFont="1" applyFill="1" applyBorder="1" applyAlignment="1">
      <alignment horizontal="right" vertical="center"/>
      <protection locked="0" hidden="0"/>
    </xf>
    <xf numFmtId="0" fontId="10" fillId="5" borderId="3" xfId="0" applyFont="1" applyFill="1" applyBorder="1" applyAlignment="1">
      <alignment horizontal="left" vertical="center"/>
      <protection locked="0" hidden="0"/>
    </xf>
    <xf numFmtId="9" fontId="4" fillId="5" borderId="3" xfId="0" applyNumberFormat="1" applyFont="1" applyFill="1" applyBorder="1" applyAlignment="1">
      <alignment horizontal="left" vertical="center"/>
      <protection locked="0" hidden="0"/>
    </xf>
    <xf numFmtId="0" fontId="9" fillId="4" borderId="4" xfId="0" applyFont="1" applyFill="1" applyBorder="1" applyAlignment="1">
      <alignment horizontal="right" vertical="center" wrapText="1"/>
      <protection locked="0" hidden="0"/>
    </xf>
    <xf numFmtId="9" fontId="4" fillId="5" borderId="5" xfId="0" applyNumberFormat="1" applyFont="1" applyFill="1" applyBorder="1" applyAlignment="1">
      <alignment horizontal="left" vertical="center"/>
      <protection locked="0" hidden="0"/>
    </xf>
    <xf numFmtId="0" fontId="6" fillId="5" borderId="6" xfId="0" applyFont="1" applyFill="1" applyBorder="1" applyAlignment="1">
      <alignment horizontal="left" vertical="center"/>
      <protection locked="0" hidden="0"/>
    </xf>
    <xf numFmtId="0" fontId="6" fillId="4" borderId="5" xfId="0" applyFont="1" applyFill="1" applyBorder="1">
      <alignment vertical="center"/>
      <protection locked="0" hidden="0"/>
    </xf>
    <xf numFmtId="0" fontId="4" fillId="5" borderId="5" xfId="0" applyFont="1" applyFill="1" applyBorder="1" applyAlignment="1">
      <alignment horizontal="left" vertical="center"/>
      <protection locked="0" hidden="0"/>
    </xf>
    <xf numFmtId="0" fontId="5" fillId="4" borderId="5" xfId="0" applyFont="1" applyFill="1" applyBorder="1" applyAlignment="1">
      <alignment horizontal="right" vertical="center"/>
      <protection locked="0" hidden="0"/>
    </xf>
    <xf numFmtId="1" fontId="11" fillId="6" borderId="6" xfId="0" applyNumberFormat="1" applyFont="1" applyFill="1" applyBorder="1" applyAlignment="1">
      <alignment horizontal="left" vertical="center"/>
      <protection locked="1" hidden="1"/>
    </xf>
    <xf numFmtId="0" fontId="2" fillId="7" borderId="0" xfId="0" applyFont="1" applyFill="1" applyBorder="1">
      <alignment vertical="center"/>
      <protection locked="0" hidden="0"/>
    </xf>
    <xf numFmtId="0" fontId="2" fillId="7" borderId="0" xfId="0" applyFont="1" applyFill="1">
      <alignment vertical="center"/>
      <protection locked="0" hidden="0"/>
    </xf>
    <xf numFmtId="0" fontId="12" fillId="4" borderId="0" xfId="0" applyFont="1" applyFill="1">
      <alignment vertical="center"/>
      <protection locked="0" hidden="0"/>
    </xf>
    <xf numFmtId="0" fontId="13" fillId="6" borderId="0" xfId="0" applyFont="1" applyFill="1">
      <alignment vertical="center"/>
      <protection locked="1" hidden="1"/>
    </xf>
    <xf numFmtId="0" fontId="2" fillId="4" borderId="0" xfId="0" applyFont="1" applyFill="1">
      <alignment vertical="center"/>
      <protection locked="0" hidden="0"/>
    </xf>
    <xf numFmtId="0" fontId="14" fillId="6" borderId="0" xfId="0" applyFont="1" applyFill="1">
      <alignment vertical="center"/>
      <protection locked="1" hidden="1"/>
    </xf>
    <xf numFmtId="0" fontId="15" fillId="4" borderId="0" xfId="0" applyFont="1" applyFill="1">
      <alignment vertical="center"/>
      <protection locked="0" hidden="0"/>
    </xf>
    <xf numFmtId="0" fontId="3" fillId="2" borderId="0" xfId="0" applyFont="1" applyFill="1">
      <alignment vertical="center"/>
      <protection locked="0" hidden="0"/>
    </xf>
    <xf numFmtId="0" fontId="2" fillId="2" borderId="1" xfId="0" applyFont="1" applyFill="1" applyBorder="1">
      <alignment vertical="center"/>
      <protection locked="0" hidden="0"/>
    </xf>
    <xf numFmtId="0" fontId="16" fillId="2" borderId="0" xfId="0" applyFont="1" applyFill="1">
      <alignment vertical="center"/>
    </xf>
    <xf numFmtId="0" fontId="17" fillId="8" borderId="0" xfId="0" applyFont="1" applyFill="1">
      <alignment vertical="center"/>
    </xf>
    <xf numFmtId="0" fontId="17" fillId="8" borderId="7" xfId="0" applyFont="1" applyFill="1" applyBorder="1">
      <alignment vertical="center"/>
    </xf>
    <xf numFmtId="0" fontId="17" fillId="9" borderId="8" xfId="0" applyFont="1" applyFill="1" applyBorder="1">
      <alignment vertical="center"/>
    </xf>
    <xf numFmtId="0" fontId="17" fillId="9" borderId="9" xfId="0" applyFont="1" applyFill="1" applyBorder="1">
      <alignment vertical="center"/>
    </xf>
    <xf numFmtId="0" fontId="17" fillId="9" borderId="10" xfId="0" applyFont="1" applyFill="1" applyBorder="1">
      <alignment vertical="center"/>
    </xf>
    <xf numFmtId="0" fontId="18" fillId="6" borderId="0" xfId="0" applyFont="1" applyFill="1">
      <alignment vertical="center"/>
    </xf>
    <xf numFmtId="0" fontId="17" fillId="9" borderId="0" xfId="0" applyFont="1" applyFill="1">
      <alignment vertical="center"/>
    </xf>
    <xf numFmtId="0" fontId="17" fillId="9" borderId="7" xfId="0" applyFont="1" applyFill="1" applyBorder="1">
      <alignment vertical="center"/>
    </xf>
    <xf numFmtId="0" fontId="17" fillId="9" borderId="0" xfId="0" applyFont="1" applyFill="1" applyBorder="1">
      <alignment vertical="center"/>
    </xf>
    <xf numFmtId="0" fontId="17" fillId="9" borderId="11" xfId="0" applyFont="1" applyFill="1" applyBorder="1">
      <alignment vertical="center"/>
    </xf>
    <xf numFmtId="0" fontId="17" fillId="8" borderId="0" xfId="0" applyFont="1" applyFill="1" applyBorder="1">
      <alignment vertical="center"/>
    </xf>
    <xf numFmtId="0" fontId="19" fillId="10" borderId="12" xfId="0" applyNumberFormat="1" applyFont="1" applyFill="1" applyBorder="1" applyAlignment="1">
      <alignment horizontal="left" vertical="bottom"/>
      <protection locked="1" hidden="1"/>
    </xf>
    <xf numFmtId="0" fontId="19" fillId="10" borderId="13" xfId="0" applyNumberFormat="1" applyFont="1" applyFill="1" applyBorder="1" applyAlignment="1">
      <alignment horizontal="left" vertical="bottom"/>
      <protection locked="1" hidden="1"/>
    </xf>
    <xf numFmtId="0" fontId="19" fillId="10" borderId="14" xfId="0" applyNumberFormat="1" applyFont="1" applyFill="1" applyBorder="1" applyAlignment="1">
      <alignment horizontal="left" vertical="bottom"/>
      <protection locked="1" hidden="1"/>
    </xf>
    <xf numFmtId="0" fontId="20" fillId="10" borderId="15" xfId="0" applyFont="1" applyFill="1" applyBorder="1" applyAlignment="1">
      <alignment horizontal="center" vertical="center"/>
    </xf>
    <xf numFmtId="0" fontId="19" fillId="10" borderId="16" xfId="0" applyNumberFormat="1" applyFont="1" applyFill="1" applyBorder="1" applyAlignment="1">
      <alignment horizontal="left" vertical="bottom"/>
      <protection locked="1" hidden="1"/>
    </xf>
    <xf numFmtId="0" fontId="19" fillId="10" borderId="17" xfId="0" applyNumberFormat="1" applyFont="1" applyFill="1" applyBorder="1" applyAlignment="1">
      <alignment horizontal="left" vertical="bottom"/>
      <protection locked="1" hidden="1"/>
    </xf>
    <xf numFmtId="0" fontId="20" fillId="10" borderId="12" xfId="0" applyFont="1" applyFill="1" applyBorder="1" applyAlignment="1">
      <alignment horizontal="left" vertical="center"/>
    </xf>
    <xf numFmtId="0" fontId="20" fillId="10" borderId="14" xfId="0" applyFont="1" applyFill="1" applyBorder="1" applyAlignment="1">
      <alignment horizontal="left" vertical="center"/>
    </xf>
    <xf numFmtId="0" fontId="18" fillId="6" borderId="0" xfId="0" applyFont="1" applyFill="1" applyBorder="1">
      <alignment vertical="center"/>
    </xf>
    <xf numFmtId="0" fontId="16" fillId="2" borderId="9" xfId="0" applyFont="1" applyFill="1" applyBorder="1">
      <alignment vertical="center"/>
    </xf>
    <xf numFmtId="0" fontId="19" fillId="10" borderId="18" xfId="0" applyNumberFormat="1" applyFont="1" applyFill="1" applyBorder="1" applyAlignment="1">
      <alignment horizontal="left" vertical="bottom"/>
      <protection locked="1" hidden="1"/>
    </xf>
    <xf numFmtId="0" fontId="19" fillId="10" borderId="19" xfId="0" applyNumberFormat="1" applyFont="1" applyFill="1" applyBorder="1" applyAlignment="1">
      <alignment horizontal="left" vertical="bottom"/>
      <protection locked="1" hidden="1"/>
    </xf>
    <xf numFmtId="0" fontId="19" fillId="10" borderId="20" xfId="0" applyNumberFormat="1" applyFont="1" applyFill="1" applyBorder="1" applyAlignment="1">
      <alignment horizontal="left" vertical="bottom"/>
      <protection locked="1" hidden="1"/>
    </xf>
    <xf numFmtId="0" fontId="20" fillId="10" borderId="10" xfId="0" applyFont="1" applyFill="1" applyBorder="1" applyAlignment="1">
      <alignment horizontal="center" vertical="center"/>
    </xf>
    <xf numFmtId="0" fontId="19" fillId="10" borderId="21" xfId="0" applyNumberFormat="1" applyFont="1" applyFill="1" applyBorder="1" applyAlignment="1">
      <alignment horizontal="left" vertical="bottom"/>
      <protection locked="1" hidden="1"/>
    </xf>
    <xf numFmtId="0" fontId="20" fillId="10" borderId="22" xfId="0" applyFont="1" applyFill="1" applyBorder="1" applyAlignment="1">
      <alignment horizontal="left" vertical="center"/>
    </xf>
    <xf numFmtId="0" fontId="20" fillId="10" borderId="23" xfId="0" applyFont="1" applyFill="1" applyBorder="1" applyAlignment="1">
      <alignment horizontal="left" vertical="center"/>
    </xf>
    <xf numFmtId="0" fontId="19" fillId="10" borderId="24" xfId="0" applyNumberFormat="1" applyFont="1" applyFill="1" applyBorder="1" applyAlignment="1">
      <alignment horizontal="left" vertical="bottom"/>
      <protection locked="1" hidden="1"/>
    </xf>
    <xf numFmtId="0" fontId="20" fillId="10" borderId="16" xfId="0" applyFont="1" applyFill="1" applyBorder="1" applyAlignment="1">
      <alignment horizontal="left" vertical="center"/>
    </xf>
    <xf numFmtId="0" fontId="19" fillId="10" borderId="25" xfId="0" applyNumberFormat="1" applyFont="1" applyFill="1" applyBorder="1" applyAlignment="1">
      <alignment horizontal="left" vertical="bottom"/>
      <protection locked="1" hidden="1"/>
    </xf>
    <xf numFmtId="0" fontId="19" fillId="10" borderId="15" xfId="0" applyNumberFormat="1" applyFont="1" applyFill="1" applyBorder="1" applyAlignment="1">
      <alignment horizontal="left" vertical="bottom"/>
      <protection locked="1" hidden="1"/>
    </xf>
    <xf numFmtId="0" fontId="20" fillId="10" borderId="26" xfId="0" applyFont="1" applyFill="1" applyBorder="1" applyAlignment="1">
      <alignment horizontal="center" vertical="center"/>
    </xf>
    <xf numFmtId="0" fontId="19" fillId="10" borderId="25" xfId="0" applyNumberFormat="1" applyFont="1" applyFill="1" applyBorder="1" applyAlignment="1">
      <alignment vertical="bottom"/>
      <protection locked="1" hidden="1"/>
    </xf>
    <xf numFmtId="0" fontId="19" fillId="10" borderId="24" xfId="0" applyNumberFormat="1" applyFont="1" applyFill="1" applyBorder="1" applyAlignment="1">
      <alignment vertical="bottom"/>
      <protection locked="1" hidden="1"/>
    </xf>
    <xf numFmtId="0" fontId="19" fillId="10" borderId="15" xfId="0" applyNumberFormat="1" applyFont="1" applyFill="1" applyBorder="1" applyAlignment="1">
      <alignment vertical="bottom"/>
      <protection locked="1" hidden="1"/>
    </xf>
    <xf numFmtId="0" fontId="20" fillId="10" borderId="25" xfId="0" applyFont="1" applyFill="1" applyBorder="1" applyAlignment="1">
      <alignment horizontal="left" vertical="center"/>
    </xf>
    <xf numFmtId="0" fontId="20" fillId="10" borderId="15" xfId="0" applyFont="1" applyFill="1" applyBorder="1" applyAlignment="1">
      <alignment horizontal="left" vertical="center"/>
    </xf>
    <xf numFmtId="0" fontId="19" fillId="10" borderId="27" xfId="0" applyNumberFormat="1" applyFont="1" applyFill="1" applyBorder="1" applyAlignment="1">
      <alignment horizontal="left" vertical="bottom"/>
      <protection locked="1" hidden="1"/>
    </xf>
    <xf numFmtId="0" fontId="19" fillId="10" borderId="28" xfId="0" applyNumberFormat="1" applyFont="1" applyFill="1" applyBorder="1" applyAlignment="1">
      <alignment horizontal="left" vertical="bottom"/>
      <protection locked="1" hidden="1"/>
    </xf>
    <xf numFmtId="0" fontId="19" fillId="10" borderId="23" xfId="0" applyNumberFormat="1" applyFont="1" applyFill="1" applyBorder="1" applyAlignment="1">
      <alignment horizontal="left" vertical="bottom"/>
      <protection locked="1" hidden="1"/>
    </xf>
    <xf numFmtId="0" fontId="20" fillId="10" borderId="7" xfId="0" applyFont="1" applyFill="1" applyBorder="1" applyAlignment="1">
      <alignment horizontal="center" vertical="center"/>
    </xf>
    <xf numFmtId="0" fontId="19" fillId="10" borderId="22" xfId="0" applyNumberFormat="1" applyFont="1" applyFill="1" applyBorder="1" applyAlignment="1">
      <alignment horizontal="left" vertical="bottom"/>
      <protection locked="1" hidden="1"/>
    </xf>
    <xf numFmtId="0" fontId="19" fillId="10" borderId="29" xfId="0" applyNumberFormat="1" applyFont="1" applyFill="1" applyBorder="1" applyAlignment="1">
      <alignment horizontal="left" vertical="center"/>
      <protection locked="1" hidden="1"/>
    </xf>
    <xf numFmtId="0" fontId="19" fillId="10" borderId="30" xfId="0" applyNumberFormat="1" applyFont="1" applyFill="1" applyBorder="1" applyAlignment="1">
      <alignment horizontal="left" vertical="center"/>
      <protection locked="1" hidden="1"/>
    </xf>
    <xf numFmtId="0" fontId="19" fillId="10" borderId="31" xfId="0" applyNumberFormat="1" applyFont="1" applyFill="1" applyBorder="1" applyAlignment="1">
      <alignment horizontal="left" vertical="center"/>
      <protection locked="1" hidden="1"/>
    </xf>
    <xf numFmtId="0" fontId="19" fillId="10" borderId="25" xfId="0" applyNumberFormat="1" applyFont="1" applyFill="1" applyBorder="1" applyAlignment="1">
      <alignment horizontal="left" vertical="center"/>
      <protection locked="0" hidden="0"/>
    </xf>
    <xf numFmtId="0" fontId="19" fillId="10" borderId="24" xfId="0" applyNumberFormat="1" applyFont="1" applyFill="1" applyBorder="1" applyAlignment="1">
      <alignment horizontal="left" vertical="center"/>
      <protection locked="0" hidden="0"/>
    </xf>
    <xf numFmtId="0" fontId="19" fillId="10" borderId="15" xfId="0" applyNumberFormat="1" applyFont="1" applyFill="1" applyBorder="1" applyAlignment="1">
      <alignment horizontal="left" vertical="center"/>
      <protection locked="0" hidden="0"/>
    </xf>
    <xf numFmtId="0" fontId="21" fillId="11" borderId="32" xfId="0" applyNumberFormat="1" applyFont="1" applyFill="1" applyBorder="1" applyAlignment="1">
      <alignment horizontal="left" vertical="center"/>
      <protection locked="0" hidden="0"/>
    </xf>
    <xf numFmtId="0" fontId="21" fillId="11" borderId="24" xfId="0" applyNumberFormat="1" applyFont="1" applyFill="1" applyBorder="1" applyAlignment="1">
      <alignment horizontal="left" vertical="center"/>
      <protection locked="0" hidden="0"/>
    </xf>
    <xf numFmtId="0" fontId="21" fillId="11" borderId="15" xfId="0" applyNumberFormat="1" applyFont="1" applyFill="1" applyBorder="1" applyAlignment="1">
      <alignment horizontal="left" vertical="center"/>
      <protection locked="0" hidden="0"/>
    </xf>
    <xf numFmtId="0" fontId="19" fillId="10" borderId="33" xfId="0" applyNumberFormat="1" applyFont="1" applyFill="1" applyBorder="1" applyAlignment="1">
      <alignment horizontal="left" vertical="bottom"/>
      <protection locked="1" hidden="1"/>
    </xf>
    <xf numFmtId="0" fontId="19" fillId="10" borderId="34" xfId="0" applyNumberFormat="1" applyFont="1" applyFill="1" applyBorder="1" applyAlignment="1">
      <alignment horizontal="left" vertical="bottom"/>
      <protection locked="1" hidden="1"/>
    </xf>
    <xf numFmtId="0" fontId="19" fillId="10" borderId="35" xfId="0" applyNumberFormat="1" applyFont="1" applyFill="1" applyBorder="1" applyAlignment="1">
      <alignment horizontal="left" vertical="bottom"/>
      <protection locked="1" hidden="1"/>
    </xf>
    <xf numFmtId="0" fontId="20" fillId="10" borderId="36" xfId="0" applyFont="1" applyFill="1" applyBorder="1" applyAlignment="1">
      <alignment horizontal="center" vertical="center"/>
    </xf>
    <xf numFmtId="0" fontId="19" fillId="10" borderId="37" xfId="0" applyNumberFormat="1" applyFont="1" applyFill="1" applyBorder="1" applyAlignment="1">
      <alignment horizontal="left" vertical="bottom"/>
      <protection locked="1" hidden="1"/>
    </xf>
    <xf numFmtId="0" fontId="20" fillId="10" borderId="37" xfId="0" applyFont="1" applyFill="1" applyBorder="1" applyAlignment="1">
      <alignment horizontal="left" vertical="center"/>
    </xf>
    <xf numFmtId="0" fontId="20" fillId="10" borderId="35" xfId="0" applyFont="1" applyFill="1" applyBorder="1" applyAlignment="1">
      <alignment horizontal="left" vertical="center"/>
    </xf>
    <xf numFmtId="0" fontId="19" fillId="10" borderId="12" xfId="0" applyNumberFormat="1" applyFont="1" applyFill="1" applyBorder="1" applyAlignment="1">
      <alignment horizontal="left" vertical="bottom"/>
    </xf>
    <xf numFmtId="0" fontId="19" fillId="10" borderId="13" xfId="0" applyNumberFormat="1" applyFont="1" applyFill="1" applyBorder="1" applyAlignment="1">
      <alignment horizontal="left" vertical="bottom"/>
    </xf>
    <xf numFmtId="0" fontId="19" fillId="10" borderId="14" xfId="0" applyNumberFormat="1" applyFont="1" applyFill="1" applyBorder="1" applyAlignment="1">
      <alignment horizontal="left" vertical="bottom"/>
    </xf>
    <xf numFmtId="0" fontId="22" fillId="6" borderId="0" xfId="0" applyFont="1" applyFill="1" applyBorder="1">
      <alignment vertical="center"/>
    </xf>
    <xf numFmtId="0" fontId="19" fillId="10" borderId="11" xfId="0" applyNumberFormat="1" applyFont="1" applyFill="1" applyBorder="1" applyAlignment="1">
      <alignment horizontal="left" vertical="bottom"/>
      <protection locked="1" hidden="1"/>
    </xf>
    <xf numFmtId="0" fontId="19" fillId="10" borderId="38" xfId="0" applyNumberFormat="1" applyFont="1" applyFill="1" applyBorder="1" applyAlignment="1">
      <alignment horizontal="left" vertical="bottom"/>
      <protection locked="1" hidden="1"/>
    </xf>
    <xf numFmtId="0" fontId="19" fillId="10" borderId="22" xfId="0" applyNumberFormat="1" applyFont="1" applyFill="1" applyBorder="1" applyAlignment="1">
      <alignment horizontal="left" vertical="center"/>
      <protection locked="1" hidden="1"/>
    </xf>
    <xf numFmtId="0" fontId="19" fillId="10" borderId="23" xfId="0" applyNumberFormat="1" applyFont="1" applyFill="1" applyBorder="1" applyAlignment="1">
      <alignment horizontal="left" vertical="center"/>
      <protection locked="1" hidden="1"/>
    </xf>
    <xf numFmtId="0" fontId="23" fillId="6" borderId="0" xfId="0" applyNumberFormat="1" applyFont="1" applyFill="1" applyBorder="1" applyAlignment="1">
      <alignment horizontal="left" vertical="bottom"/>
      <protection locked="1" hidden="1"/>
    </xf>
    <xf numFmtId="0" fontId="19" fillId="10" borderId="16" xfId="0" applyNumberFormat="1" applyFont="1" applyFill="1" applyBorder="1" applyAlignment="1">
      <alignment horizontal="left" vertical="center"/>
      <protection locked="1" hidden="1"/>
    </xf>
    <xf numFmtId="0" fontId="19" fillId="10" borderId="14" xfId="0" applyNumberFormat="1" applyFont="1" applyFill="1" applyBorder="1" applyAlignment="1">
      <alignment horizontal="left" vertical="center"/>
      <protection locked="1" hidden="1"/>
    </xf>
    <xf numFmtId="0" fontId="19" fillId="10" borderId="37" xfId="0" applyNumberFormat="1" applyFont="1" applyFill="1" applyBorder="1" applyAlignment="1">
      <alignment horizontal="left" vertical="center"/>
      <protection locked="1" hidden="1"/>
    </xf>
    <xf numFmtId="0" fontId="19" fillId="10" borderId="35" xfId="0" applyNumberFormat="1" applyFont="1" applyFill="1" applyBorder="1" applyAlignment="1">
      <alignment horizontal="left" vertical="center"/>
      <protection locked="1" hidden="1"/>
    </xf>
    <xf numFmtId="0" fontId="17" fillId="12" borderId="0" xfId="0" applyFont="1" applyFill="1">
      <alignment vertical="center"/>
    </xf>
    <xf numFmtId="0" fontId="24" fillId="2" borderId="0" xfId="0" applyFont="1" applyFill="1">
      <alignment vertical="center"/>
      <protection locked="0" hidden="0"/>
    </xf>
    <xf numFmtId="0" fontId="25" fillId="13" borderId="39" xfId="0" applyNumberFormat="1" applyFont="1" applyFill="1" applyBorder="1" applyAlignment="1">
      <alignment horizontal="left" vertical="center"/>
      <protection locked="0" hidden="0"/>
    </xf>
    <xf numFmtId="0" fontId="25" fillId="13" borderId="40" xfId="0" applyNumberFormat="1" applyFont="1" applyFill="1" applyBorder="1" applyAlignment="1">
      <alignment horizontal="left" vertical="center"/>
      <protection locked="0" hidden="0"/>
    </xf>
    <xf numFmtId="0" fontId="26" fillId="13" borderId="41" xfId="0" applyNumberFormat="1" applyFont="1" applyFill="1" applyBorder="1" applyAlignment="1">
      <alignment horizontal="left" vertical="center"/>
      <protection locked="0" hidden="1"/>
    </xf>
    <xf numFmtId="0" fontId="26" fillId="13" borderId="42" xfId="0" applyNumberFormat="1" applyFont="1" applyFill="1" applyBorder="1" applyAlignment="1">
      <alignment horizontal="left" vertical="center"/>
      <protection locked="0" hidden="1"/>
    </xf>
    <xf numFmtId="0" fontId="17" fillId="2" borderId="0" xfId="0" applyNumberFormat="1" applyFont="1" applyFill="1" applyBorder="1" applyAlignment="1">
      <alignment vertical="bottom"/>
      <protection locked="0" hidden="0"/>
    </xf>
    <xf numFmtId="0" fontId="17" fillId="13" borderId="0" xfId="0" applyNumberFormat="1" applyFont="1" applyFill="1" applyBorder="1" applyAlignment="1">
      <alignment horizontal="center" vertical="center"/>
      <protection locked="0" hidden="0"/>
    </xf>
    <xf numFmtId="0" fontId="17" fillId="2" borderId="0" xfId="0" applyNumberFormat="1" applyFont="1" applyFill="1" applyBorder="1" applyAlignment="1">
      <alignment vertical="bottom" wrapText="1"/>
      <protection locked="0" hidden="0"/>
    </xf>
    <xf numFmtId="0" fontId="27" fillId="13" borderId="43" xfId="0" applyNumberFormat="1" applyFont="1" applyFill="1" applyBorder="1" applyAlignment="1">
      <alignment horizontal="left" vertical="center" wrapText="1"/>
      <protection locked="0" hidden="0"/>
    </xf>
    <xf numFmtId="0" fontId="27" fillId="13" borderId="44" xfId="0" applyNumberFormat="1" applyFont="1" applyFill="1" applyBorder="1" applyAlignment="1">
      <alignment horizontal="left" vertical="center" wrapText="1"/>
      <protection locked="0" hidden="0"/>
    </xf>
    <xf numFmtId="0" fontId="28" fillId="13" borderId="0" xfId="0" applyNumberFormat="1" applyFont="1" applyFill="1" applyBorder="1" applyAlignment="1">
      <alignment horizontal="left" vertical="center" wrapText="1"/>
      <protection locked="0" hidden="1"/>
    </xf>
    <xf numFmtId="0" fontId="27" fillId="13" borderId="0" xfId="0" applyNumberFormat="1" applyFont="1" applyFill="1" applyBorder="1" applyAlignment="1">
      <alignment horizontal="center" vertical="center" wrapText="1"/>
      <protection locked="0" hidden="0"/>
    </xf>
    <xf numFmtId="0" fontId="29" fillId="13" borderId="0" xfId="0" applyNumberFormat="1" applyFont="1" applyFill="1" applyBorder="1" applyAlignment="1">
      <alignment horizontal="left" vertical="center" wrapText="1"/>
      <protection locked="0" hidden="1"/>
    </xf>
    <xf numFmtId="0" fontId="27" fillId="13" borderId="0" xfId="0" applyNumberFormat="1" applyFont="1" applyFill="1" applyBorder="1" applyAlignment="1">
      <alignment horizontal="right" vertical="center" wrapText="1"/>
      <protection locked="0" hidden="0"/>
    </xf>
    <xf numFmtId="0" fontId="29" fillId="13" borderId="45" xfId="0" applyNumberFormat="1" applyFont="1" applyFill="1" applyBorder="1" applyAlignment="1">
      <alignment horizontal="left" vertical="center" wrapText="1"/>
      <protection locked="0" hidden="1"/>
    </xf>
    <xf numFmtId="0" fontId="17" fillId="13" borderId="0" xfId="0" applyNumberFormat="1" applyFont="1" applyFill="1" applyBorder="1" applyAlignment="1">
      <alignment horizontal="center" vertical="center" wrapText="1"/>
      <protection locked="0" hidden="0"/>
    </xf>
    <xf numFmtId="0" fontId="27" fillId="13" borderId="46" xfId="0" applyNumberFormat="1" applyFont="1" applyFill="1" applyBorder="1" applyAlignment="1">
      <alignment horizontal="left" vertical="center" wrapText="1"/>
      <protection locked="0" hidden="0"/>
    </xf>
    <xf numFmtId="0" fontId="27" fillId="13" borderId="47" xfId="0" applyNumberFormat="1" applyFont="1" applyFill="1" applyBorder="1" applyAlignment="1">
      <alignment horizontal="left" vertical="center" wrapText="1"/>
      <protection locked="0" hidden="0"/>
    </xf>
    <xf numFmtId="0" fontId="27" fillId="13" borderId="48" xfId="0" applyNumberFormat="1" applyFont="1" applyFill="1" applyBorder="1" applyAlignment="1">
      <alignment horizontal="left" vertical="center" wrapText="1"/>
      <protection locked="0" hidden="1"/>
    </xf>
    <xf numFmtId="0" fontId="29" fillId="13" borderId="48" xfId="0" applyNumberFormat="1" applyFont="1" applyFill="1" applyBorder="1" applyAlignment="1">
      <alignment horizontal="center" vertical="center" wrapText="1"/>
      <protection locked="0" hidden="0"/>
    </xf>
    <xf numFmtId="1" fontId="30" fillId="13" borderId="48" xfId="0" applyNumberFormat="1" applyFont="1" applyFill="1" applyBorder="1" applyAlignment="1">
      <alignment horizontal="left" vertical="center" wrapText="1"/>
      <protection locked="0" hidden="0"/>
    </xf>
    <xf numFmtId="1" fontId="27" fillId="13" borderId="48" xfId="0" applyNumberFormat="1" applyFont="1" applyFill="1" applyBorder="1" applyAlignment="1">
      <alignment horizontal="left" vertical="center" wrapText="1"/>
      <protection locked="0" hidden="1"/>
    </xf>
    <xf numFmtId="0" fontId="27" fillId="13" borderId="48" xfId="0" applyNumberFormat="1" applyFont="1" applyFill="1" applyBorder="1" applyAlignment="1">
      <alignment horizontal="center" vertical="center" wrapText="1"/>
      <protection locked="0" hidden="0"/>
    </xf>
    <xf numFmtId="1" fontId="29" fillId="13" borderId="49" xfId="0" applyNumberFormat="1" applyFont="1" applyFill="1" applyBorder="1" applyAlignment="1">
      <alignment horizontal="left" vertical="center" wrapText="1"/>
      <protection locked="0" hidden="0"/>
    </xf>
    <xf numFmtId="0" fontId="27" fillId="13" borderId="50" xfId="0" applyNumberFormat="1" applyFont="1" applyFill="1" applyBorder="1" applyAlignment="1">
      <alignment horizontal="center" vertical="center"/>
      <protection locked="0" hidden="0"/>
    </xf>
    <xf numFmtId="0" fontId="27" fillId="13" borderId="51" xfId="0" applyNumberFormat="1" applyFont="1" applyFill="1" applyBorder="1" applyAlignment="1">
      <alignment horizontal="center" vertical="center"/>
      <protection locked="0" hidden="0"/>
    </xf>
    <xf numFmtId="0" fontId="27" fillId="13" borderId="52" xfId="0" applyNumberFormat="1" applyFont="1" applyFill="1" applyBorder="1" applyAlignment="1">
      <alignment horizontal="center" vertical="center"/>
      <protection locked="0" hidden="0"/>
    </xf>
    <xf numFmtId="0" fontId="30" fillId="13" borderId="53" xfId="0" applyNumberFormat="1" applyFont="1" applyFill="1" applyBorder="1" applyAlignment="1">
      <alignment horizontal="center" vertical="center" wrapText="1"/>
      <protection locked="0" hidden="0"/>
    </xf>
    <xf numFmtId="0" fontId="30" fillId="13" borderId="54" xfId="0" applyNumberFormat="1" applyFont="1" applyFill="1" applyBorder="1" applyAlignment="1">
      <alignment horizontal="center" vertical="center" wrapText="1"/>
      <protection locked="0" hidden="0"/>
    </xf>
    <xf numFmtId="0" fontId="30" fillId="13" borderId="55" xfId="0" applyNumberFormat="1" applyFont="1" applyFill="1" applyBorder="1" applyAlignment="1">
      <alignment horizontal="center" vertical="center" wrapText="1"/>
      <protection locked="0" hidden="0"/>
    </xf>
    <xf numFmtId="0" fontId="30" fillId="13" borderId="56" xfId="0" applyNumberFormat="1" applyFont="1" applyFill="1" applyBorder="1" applyAlignment="1">
      <alignment horizontal="center" vertical="center" wrapText="1"/>
      <protection locked="0" hidden="0"/>
    </xf>
    <xf numFmtId="0" fontId="30" fillId="13" borderId="54" xfId="0" applyNumberFormat="1" applyFont="1" applyFill="1" applyBorder="1" applyAlignment="1">
      <alignment horizontal="center" vertical="center"/>
      <protection locked="0" hidden="0"/>
    </xf>
    <xf numFmtId="164" fontId="30" fillId="13" borderId="55" xfId="0" applyNumberFormat="1" applyFont="1" applyFill="1" applyBorder="1" applyAlignment="1">
      <alignment horizontal="center" vertical="center" wrapText="1"/>
      <protection locked="0" hidden="0"/>
    </xf>
    <xf numFmtId="1" fontId="30" fillId="13" borderId="55" xfId="0" applyNumberFormat="1" applyFont="1" applyFill="1" applyBorder="1" applyAlignment="1">
      <alignment horizontal="center" vertical="center" wrapText="1"/>
      <protection locked="0" hidden="1"/>
    </xf>
    <xf numFmtId="1" fontId="30" fillId="13" borderId="55" xfId="0" applyNumberFormat="1" applyFont="1" applyFill="1" applyBorder="1" applyAlignment="1">
      <alignment horizontal="center" vertical="center" wrapText="1"/>
      <protection locked="0" hidden="0"/>
    </xf>
    <xf numFmtId="1" fontId="31" fillId="13" borderId="55" xfId="0" applyNumberFormat="1" applyFont="1" applyFill="1" applyBorder="1" applyAlignment="1">
      <alignment horizontal="center" vertical="center" wrapText="1"/>
      <protection locked="0" hidden="0"/>
    </xf>
    <xf numFmtId="1" fontId="30" fillId="13" borderId="56" xfId="0" applyNumberFormat="1" applyFont="1" applyFill="1" applyBorder="1" applyAlignment="1">
      <alignment horizontal="center" vertical="center" wrapText="1"/>
      <protection locked="0" hidden="1"/>
    </xf>
    <xf numFmtId="0" fontId="17" fillId="2" borderId="43" xfId="0" applyNumberFormat="1" applyFont="1" applyFill="1" applyBorder="1" applyAlignment="1">
      <alignment vertical="bottom"/>
      <protection locked="0" hidden="0"/>
    </xf>
    <xf numFmtId="1" fontId="31" fillId="13" borderId="57" xfId="0" applyNumberFormat="1" applyFont="1" applyFill="1" applyBorder="1" applyAlignment="1">
      <alignment horizontal="center" vertical="center" wrapText="1"/>
      <protection locked="0" hidden="0"/>
    </xf>
    <xf numFmtId="0" fontId="31" fillId="2" borderId="0" xfId="0" applyFont="1" applyFill="1" applyBorder="1">
      <alignment vertical="center"/>
      <protection locked="0" hidden="1"/>
    </xf>
    <xf numFmtId="164" fontId="30" fillId="13" borderId="58" xfId="0" applyNumberFormat="1" applyFont="1" applyFill="1" applyBorder="1" applyAlignment="1">
      <alignment horizontal="center" vertical="center" wrapText="1"/>
      <protection locked="0" hidden="0"/>
    </xf>
    <xf numFmtId="0" fontId="31" fillId="2" borderId="59" xfId="0" applyFont="1" applyFill="1" applyBorder="1" applyAlignment="1">
      <alignment horizontal="center" vertical="center"/>
      <protection locked="0" hidden="1"/>
    </xf>
    <xf numFmtId="1" fontId="31" fillId="13" borderId="60" xfId="0" applyNumberFormat="1" applyFont="1" applyFill="1" applyBorder="1" applyAlignment="1">
      <alignment horizontal="center" vertical="center" wrapText="1"/>
      <protection locked="0" hidden="0"/>
    </xf>
    <xf numFmtId="1" fontId="30" fillId="13" borderId="52" xfId="0" applyNumberFormat="1" applyFont="1" applyFill="1" applyBorder="1" applyAlignment="1">
      <alignment horizontal="center" vertical="center" wrapText="1"/>
      <protection locked="0" hidden="0"/>
    </xf>
    <xf numFmtId="0" fontId="1" fillId="2" borderId="0" xfId="0" applyFont="1" applyFill="1" applyAlignment="1">
      <alignment horizontal="center" vertical="center"/>
      <protection locked="0" hidden="1"/>
    </xf>
    <xf numFmtId="1" fontId="30" fillId="13" borderId="61" xfId="0" applyNumberFormat="1" applyFont="1" applyFill="1" applyBorder="1" applyAlignment="1">
      <alignment horizontal="center" vertical="center" wrapText="1"/>
      <protection locked="0" hidden="1"/>
    </xf>
    <xf numFmtId="1" fontId="30" fillId="13" borderId="53" xfId="0" applyNumberFormat="1" applyFont="1" applyFill="1" applyBorder="1" applyAlignment="1">
      <alignment horizontal="center" vertical="center" wrapText="1"/>
      <protection locked="0" hidden="1"/>
    </xf>
    <xf numFmtId="164" fontId="31" fillId="13" borderId="55" xfId="0" applyNumberFormat="1" applyFont="1" applyFill="1" applyBorder="1" applyAlignment="1">
      <alignment horizontal="center" vertical="center" wrapText="1"/>
      <protection locked="0" hidden="0"/>
    </xf>
    <xf numFmtId="0" fontId="31" fillId="13" borderId="62" xfId="0" applyNumberFormat="1" applyFont="1" applyFill="1" applyBorder="1" applyAlignment="1">
      <alignment horizontal="center" vertical="center"/>
      <protection locked="0" hidden="0"/>
    </xf>
    <xf numFmtId="0" fontId="30" fillId="13" borderId="63" xfId="0" applyNumberFormat="1" applyFont="1" applyFill="1" applyBorder="1" applyAlignment="1">
      <alignment horizontal="right" vertical="center"/>
      <protection locked="0" hidden="0"/>
    </xf>
    <xf numFmtId="1" fontId="30" fillId="13" borderId="64" xfId="0" applyNumberFormat="1" applyFont="1" applyFill="1" applyBorder="1" applyAlignment="1">
      <alignment horizontal="center" vertical="center"/>
      <protection locked="0" hidden="1"/>
    </xf>
    <xf numFmtId="1" fontId="30" fillId="13" borderId="65" xfId="0" applyNumberFormat="1" applyFont="1" applyFill="1" applyBorder="1" applyAlignment="1">
      <alignment horizontal="center" vertical="center" wrapText="1"/>
      <protection locked="0" hidden="1"/>
    </xf>
    <xf numFmtId="0" fontId="17" fillId="13" borderId="43" xfId="0" applyNumberFormat="1" applyFont="1" applyFill="1" applyBorder="1" applyAlignment="1">
      <alignment horizontal="center" vertical="center"/>
      <protection locked="0" hidden="0"/>
    </xf>
    <xf numFmtId="0" fontId="17" fillId="2" borderId="0" xfId="0" applyNumberFormat="1" applyFont="1" applyFill="1" applyBorder="1" applyAlignment="1">
      <alignment vertical="center" wrapText="1"/>
      <protection locked="0" hidden="0"/>
    </xf>
    <xf numFmtId="0" fontId="17" fillId="2" borderId="45" xfId="0" applyNumberFormat="1" applyFont="1" applyFill="1" applyBorder="1" applyAlignment="1">
      <alignment vertical="center" wrapText="1"/>
      <protection locked="0" hidden="0"/>
    </xf>
    <xf numFmtId="0" fontId="32" fillId="13" borderId="0" xfId="0" applyNumberFormat="1" applyFont="1" applyFill="1" applyBorder="1" applyAlignment="1">
      <alignment horizontal="center" vertical="center"/>
      <protection locked="0" hidden="1"/>
    </xf>
    <xf numFmtId="0" fontId="33" fillId="13" borderId="0" xfId="0" applyNumberFormat="1" applyFont="1" applyFill="1" applyBorder="1" applyAlignment="1">
      <alignment horizontal="center" vertical="center" wrapText="1"/>
      <protection locked="0" hidden="1"/>
    </xf>
    <xf numFmtId="0" fontId="33" fillId="13" borderId="45" xfId="0" applyNumberFormat="1" applyFont="1" applyFill="1" applyBorder="1" applyAlignment="1">
      <alignment horizontal="center" vertical="center" wrapText="1"/>
      <protection locked="0" hidden="1"/>
    </xf>
    <xf numFmtId="0" fontId="17" fillId="13" borderId="66" xfId="0" applyNumberFormat="1" applyFont="1" applyFill="1" applyBorder="1" applyAlignment="1">
      <alignment horizontal="center" vertical="center"/>
      <protection locked="0" hidden="0"/>
    </xf>
    <xf numFmtId="0" fontId="17" fillId="13" borderId="67" xfId="0" applyNumberFormat="1" applyFont="1" applyFill="1" applyBorder="1" applyAlignment="1">
      <alignment horizontal="center" vertical="center"/>
      <protection locked="0" hidden="0"/>
    </xf>
    <xf numFmtId="0" fontId="34" fillId="13" borderId="67" xfId="0" applyNumberFormat="1" applyFont="1" applyFill="1" applyBorder="1" applyAlignment="1">
      <alignment horizontal="center" vertical="center"/>
      <protection locked="0" hidden="0"/>
    </xf>
    <xf numFmtId="0" fontId="17" fillId="2" borderId="67" xfId="0" applyNumberFormat="1" applyFont="1" applyFill="1" applyBorder="1" applyAlignment="1">
      <alignment vertical="center" wrapText="1"/>
      <protection locked="0" hidden="0"/>
    </xf>
    <xf numFmtId="0" fontId="34" fillId="13" borderId="67" xfId="0" applyNumberFormat="1" applyFont="1" applyFill="1" applyBorder="1" applyAlignment="1">
      <alignment horizontal="center" vertical="center" wrapText="1"/>
      <protection locked="0" hidden="0"/>
    </xf>
    <xf numFmtId="0" fontId="34" fillId="13" borderId="68" xfId="0" applyNumberFormat="1" applyFont="1" applyFill="1" applyBorder="1" applyAlignment="1">
      <alignment horizontal="center" vertical="center" wrapText="1"/>
      <protection locked="0" hidden="0"/>
    </xf>
    <xf numFmtId="0" fontId="35" fillId="13" borderId="0" xfId="0" applyNumberFormat="1" applyFont="1" applyFill="1" applyBorder="1" applyAlignment="1">
      <alignment horizontal="center" vertical="center"/>
      <protection locked="0" hidden="0"/>
    </xf>
    <xf numFmtId="0" fontId="36" fillId="13" borderId="0" xfId="0" applyNumberFormat="1" applyFont="1" applyFill="1" applyBorder="1" applyAlignment="1">
      <alignment horizontal="center" vertical="center"/>
      <protection locked="0" hidden="0"/>
    </xf>
    <xf numFmtId="1" fontId="37" fillId="13" borderId="0" xfId="0" applyNumberFormat="1" applyFont="1" applyFill="1" applyBorder="1" applyAlignment="1">
      <alignment horizontal="center" vertical="center" wrapText="1"/>
      <protection locked="0" hidden="1"/>
    </xf>
    <xf numFmtId="0" fontId="35" fillId="13" borderId="0" xfId="0" applyNumberFormat="1" applyFont="1" applyFill="1" applyBorder="1" applyAlignment="1">
      <alignment horizontal="center" vertical="center"/>
      <protection locked="0" hidden="1"/>
    </xf>
    <xf numFmtId="0" fontId="35" fillId="2" borderId="0" xfId="0" applyNumberFormat="1" applyFont="1" applyFill="1" applyBorder="1" applyAlignment="1">
      <alignment vertical="bottom"/>
      <protection locked="0" hidden="0"/>
    </xf>
    <xf numFmtId="0" fontId="38" fillId="13" borderId="0" xfId="0" applyNumberFormat="1" applyFont="1" applyFill="1" applyBorder="1" applyAlignment="1">
      <alignment horizontal="center" vertical="center"/>
      <protection locked="0" hidden="0"/>
    </xf>
    <xf numFmtId="0" fontId="17" fillId="13" borderId="69" xfId="0" applyNumberFormat="1" applyFont="1" applyFill="1" applyBorder="1" applyAlignment="1">
      <alignment horizontal="center" vertical="center"/>
      <protection locked="0" hidden="0"/>
    </xf>
    <xf numFmtId="0" fontId="31" fillId="2" borderId="0" xfId="0" applyFont="1" applyFill="1">
      <alignment vertical="center"/>
      <protection locked="1" hidden="1"/>
    </xf>
    <xf numFmtId="0" fontId="39" fillId="13" borderId="70" xfId="0" applyNumberFormat="1" applyFont="1" applyFill="1" applyBorder="1" applyAlignment="1">
      <alignment horizontal="center" vertical="center" wrapText="1"/>
      <protection locked="1" hidden="1"/>
    </xf>
    <xf numFmtId="0" fontId="39" fillId="13" borderId="71" xfId="0" applyNumberFormat="1" applyFont="1" applyFill="1" applyBorder="1" applyAlignment="1">
      <alignment horizontal="center" vertical="center" wrapText="1"/>
      <protection locked="1" hidden="1"/>
    </xf>
    <xf numFmtId="0" fontId="39" fillId="13" borderId="72" xfId="0" applyNumberFormat="1" applyFont="1" applyFill="1" applyBorder="1" applyAlignment="1">
      <alignment horizontal="center" vertical="center" wrapText="1"/>
      <protection locked="1" hidden="1"/>
    </xf>
    <xf numFmtId="0" fontId="31" fillId="2" borderId="0" xfId="0" applyNumberFormat="1" applyFont="1" applyFill="1" applyBorder="1">
      <alignment vertical="center"/>
      <protection locked="1" hidden="1"/>
    </xf>
    <xf numFmtId="0" fontId="40" fillId="13" borderId="73" xfId="0" applyNumberFormat="1" applyFont="1" applyFill="1" applyBorder="1" applyAlignment="1">
      <alignment horizontal="right" vertical="center"/>
      <protection locked="1" hidden="1"/>
    </xf>
    <xf numFmtId="0" fontId="40" fillId="13" borderId="74" xfId="0" applyNumberFormat="1" applyFont="1" applyFill="1" applyBorder="1" applyAlignment="1">
      <alignment horizontal="right" vertical="center"/>
      <protection locked="1" hidden="1"/>
    </xf>
    <xf numFmtId="0" fontId="41" fillId="13" borderId="75" xfId="0" applyNumberFormat="1" applyFont="1" applyFill="1" applyBorder="1" applyAlignment="1">
      <alignment horizontal="left" vertical="center"/>
      <protection locked="1" hidden="1"/>
    </xf>
    <xf numFmtId="0" fontId="42" fillId="13" borderId="75" xfId="0" applyNumberFormat="1" applyFont="1" applyFill="1" applyBorder="1" applyAlignment="1">
      <alignment horizontal="right" vertical="center"/>
      <protection locked="1" hidden="1"/>
    </xf>
    <xf numFmtId="0" fontId="41" fillId="13" borderId="75" xfId="0" applyNumberFormat="1" applyFont="1" applyFill="1" applyBorder="1" applyAlignment="1">
      <alignment horizontal="center" vertical="center"/>
      <protection locked="1" hidden="1"/>
    </xf>
    <xf numFmtId="0" fontId="43" fillId="14" borderId="76" xfId="0" applyNumberFormat="1" applyFont="1" applyFill="1" applyBorder="1" applyAlignment="1">
      <alignment horizontal="center" vertical="center" wrapText="1"/>
      <protection locked="1" hidden="1"/>
    </xf>
    <xf numFmtId="0" fontId="43" fillId="14" borderId="77" xfId="0" applyNumberFormat="1" applyFont="1" applyFill="1" applyBorder="1" applyAlignment="1">
      <alignment horizontal="center" vertical="center" wrapText="1"/>
      <protection locked="1" hidden="1"/>
    </xf>
    <xf numFmtId="0" fontId="44" fillId="13" borderId="78" xfId="0" applyNumberFormat="1" applyFont="1" applyFill="1" applyBorder="1" applyAlignment="1">
      <alignment horizontal="center" vertical="center"/>
      <protection locked="1" hidden="1"/>
    </xf>
    <xf numFmtId="0" fontId="44" fillId="13" borderId="79" xfId="0" applyNumberFormat="1" applyFont="1" applyFill="1" applyBorder="1" applyAlignment="1">
      <alignment horizontal="left" vertical="center"/>
      <protection locked="1" hidden="1"/>
    </xf>
    <xf numFmtId="0" fontId="44" fillId="13" borderId="79" xfId="0" applyNumberFormat="1" applyFont="1" applyFill="1" applyBorder="1" applyAlignment="1">
      <alignment horizontal="center" vertical="center"/>
      <protection locked="1" hidden="1"/>
    </xf>
    <xf numFmtId="0" fontId="44" fillId="13" borderId="79" xfId="0" applyNumberFormat="1" applyFont="1" applyFill="1" applyBorder="1" applyAlignment="1">
      <alignment horizontal="right" vertical="center"/>
      <protection locked="1" hidden="1"/>
    </xf>
    <xf numFmtId="0" fontId="44" fillId="13" borderId="80" xfId="0" applyNumberFormat="1" applyFont="1" applyFill="1" applyBorder="1" applyAlignment="1">
      <alignment horizontal="center" vertical="center"/>
      <protection locked="1" hidden="1"/>
    </xf>
    <xf numFmtId="0" fontId="44" fillId="13" borderId="81" xfId="0" applyNumberFormat="1" applyFont="1" applyFill="1" applyBorder="1" applyAlignment="1">
      <alignment horizontal="center" vertical="center"/>
      <protection locked="1" hidden="1"/>
    </xf>
    <xf numFmtId="0" fontId="44" fillId="13" borderId="82" xfId="0" applyNumberFormat="1" applyFont="1" applyFill="1" applyBorder="1" applyAlignment="1">
      <alignment horizontal="center" vertical="center"/>
      <protection locked="1" hidden="1"/>
    </xf>
    <xf numFmtId="0" fontId="44" fillId="13" borderId="83" xfId="0" applyNumberFormat="1" applyFont="1" applyFill="1" applyBorder="1" applyAlignment="1">
      <alignment horizontal="left" vertical="center"/>
      <protection locked="1" hidden="1"/>
    </xf>
    <xf numFmtId="1" fontId="44" fillId="13" borderId="83" xfId="0" applyNumberFormat="1" applyFont="1" applyFill="1" applyBorder="1" applyAlignment="1">
      <alignment horizontal="right" vertical="center"/>
      <protection locked="1" hidden="1"/>
    </xf>
    <xf numFmtId="1" fontId="44" fillId="13" borderId="84" xfId="0" applyNumberFormat="1" applyFont="1" applyFill="1" applyBorder="1" applyAlignment="1">
      <alignment horizontal="center" vertical="center"/>
      <protection locked="1" hidden="1"/>
    </xf>
    <xf numFmtId="0" fontId="44" fillId="13" borderId="85" xfId="0" applyNumberFormat="1" applyFont="1" applyFill="1" applyBorder="1" applyAlignment="1">
      <alignment horizontal="center" vertical="center"/>
      <protection locked="1" hidden="1"/>
    </xf>
    <xf numFmtId="0" fontId="44" fillId="13" borderId="83" xfId="0" applyNumberFormat="1" applyFont="1" applyFill="1" applyBorder="1" applyAlignment="1">
      <alignment horizontal="left" vertical="bottom"/>
      <protection locked="1" hidden="1"/>
    </xf>
    <xf numFmtId="0" fontId="44" fillId="13" borderId="86" xfId="0" applyNumberFormat="1" applyFont="1" applyFill="1" applyBorder="1" applyAlignment="1">
      <alignment horizontal="center" vertical="center"/>
      <protection locked="1" hidden="1"/>
    </xf>
    <xf numFmtId="0" fontId="44" fillId="13" borderId="87" xfId="0" applyNumberFormat="1" applyFont="1" applyFill="1" applyBorder="1" applyAlignment="1">
      <alignment horizontal="right" vertical="center"/>
      <protection locked="1" hidden="1"/>
    </xf>
    <xf numFmtId="1" fontId="44" fillId="13" borderId="87" xfId="0" applyNumberFormat="1" applyFont="1" applyFill="1" applyBorder="1" applyAlignment="1">
      <alignment horizontal="right" vertical="center"/>
      <protection locked="1" hidden="1"/>
    </xf>
    <xf numFmtId="1" fontId="44" fillId="13" borderId="88" xfId="0" applyNumberFormat="1" applyFont="1" applyFill="1" applyBorder="1" applyAlignment="1">
      <alignment horizontal="center" vertical="center"/>
      <protection locked="1" hidden="1"/>
    </xf>
    <xf numFmtId="0" fontId="44" fillId="13" borderId="78" xfId="0" applyNumberFormat="1" applyFont="1" applyFill="1" applyBorder="1" applyAlignment="1">
      <alignment horizontal="center" vertical="top"/>
      <protection locked="1" hidden="1"/>
    </xf>
    <xf numFmtId="1" fontId="44" fillId="13" borderId="79" xfId="0" applyNumberFormat="1" applyFont="1" applyFill="1" applyBorder="1" applyAlignment="1">
      <alignment horizontal="center" vertical="center"/>
      <protection locked="1" hidden="1"/>
    </xf>
    <xf numFmtId="1" fontId="31" fillId="13" borderId="80" xfId="0" applyNumberFormat="1" applyFont="1" applyFill="1" applyBorder="1" applyAlignment="1">
      <alignment horizontal="center" vertical="center"/>
      <protection locked="1" hidden="1"/>
    </xf>
    <xf numFmtId="1" fontId="31" fillId="13" borderId="81" xfId="0" applyNumberFormat="1" applyFont="1" applyFill="1" applyBorder="1" applyAlignment="1">
      <alignment horizontal="center" vertical="center"/>
      <protection locked="1" hidden="1"/>
    </xf>
    <xf numFmtId="0" fontId="31" fillId="2" borderId="89" xfId="0" applyNumberFormat="1" applyFont="1" applyFill="1" applyBorder="1">
      <alignment vertical="center"/>
      <protection locked="1" hidden="1"/>
    </xf>
    <xf numFmtId="0" fontId="44" fillId="13" borderId="85" xfId="0" applyNumberFormat="1" applyFont="1" applyFill="1" applyBorder="1" applyAlignment="1">
      <alignment horizontal="center" vertical="top"/>
      <protection locked="1" hidden="1"/>
    </xf>
    <xf numFmtId="1" fontId="44" fillId="13" borderId="83" xfId="0" applyNumberFormat="1" applyFont="1" applyFill="1" applyBorder="1" applyAlignment="1">
      <alignment horizontal="center" vertical="center"/>
      <protection locked="1" hidden="1"/>
    </xf>
    <xf numFmtId="1" fontId="31" fillId="13" borderId="90" xfId="0" applyNumberFormat="1" applyFont="1" applyFill="1" applyBorder="1" applyAlignment="1">
      <alignment horizontal="center" vertical="center"/>
      <protection locked="1" hidden="1"/>
    </xf>
    <xf numFmtId="1" fontId="31" fillId="13" borderId="84" xfId="0" applyNumberFormat="1" applyFont="1" applyFill="1" applyBorder="1" applyAlignment="1">
      <alignment horizontal="center" vertical="center"/>
      <protection locked="1" hidden="1"/>
    </xf>
    <xf numFmtId="1" fontId="44" fillId="13" borderId="84" xfId="0" applyNumberFormat="1" applyFont="1" applyFill="1" applyBorder="1" applyAlignment="1">
      <alignment horizontal="center" vertical="center" wrapText="1"/>
      <protection locked="1" hidden="1"/>
    </xf>
    <xf numFmtId="0" fontId="44" fillId="13" borderId="83" xfId="0" applyNumberFormat="1" applyFont="1" applyFill="1" applyBorder="1" applyAlignment="1">
      <alignment horizontal="right" vertical="center"/>
      <protection locked="1" hidden="1"/>
    </xf>
    <xf numFmtId="0" fontId="44" fillId="13" borderId="83" xfId="0" applyNumberFormat="1" applyFont="1" applyFill="1" applyBorder="1" applyAlignment="1">
      <alignment horizontal="center" vertical="bottom"/>
      <protection locked="1" hidden="1"/>
    </xf>
    <xf numFmtId="1" fontId="31" fillId="2" borderId="0" xfId="0" applyNumberFormat="1" applyFont="1" applyFill="1" applyBorder="1" applyAlignment="1">
      <alignment vertical="bottom"/>
      <protection locked="1" hidden="1"/>
    </xf>
    <xf numFmtId="0" fontId="44" fillId="13" borderId="83" xfId="0" applyNumberFormat="1" applyFont="1" applyFill="1" applyBorder="1" applyAlignment="1">
      <alignment horizontal="center" vertical="center"/>
      <protection locked="1" hidden="1"/>
    </xf>
    <xf numFmtId="0" fontId="31" fillId="13" borderId="85" xfId="0" applyNumberFormat="1" applyFont="1" applyFill="1" applyBorder="1" applyAlignment="1">
      <alignment horizontal="center" vertical="center"/>
      <protection locked="1" hidden="1"/>
    </xf>
    <xf numFmtId="0" fontId="44" fillId="13" borderId="83" xfId="0" applyNumberFormat="1" applyFont="1" applyFill="1" applyBorder="1" applyAlignment="1">
      <alignment horizontal="center" vertical="center"/>
      <protection locked="1" hidden="1"/>
    </xf>
    <xf numFmtId="0" fontId="44" fillId="13" borderId="91" xfId="0" applyNumberFormat="1" applyFont="1" applyFill="1" applyBorder="1" applyAlignment="1">
      <alignment horizontal="center" vertical="center"/>
      <protection locked="1" hidden="1"/>
    </xf>
    <xf numFmtId="0" fontId="44" fillId="13" borderId="90" xfId="0" applyNumberFormat="1" applyFont="1" applyFill="1" applyBorder="1" applyAlignment="1">
      <alignment horizontal="left" vertical="center"/>
      <protection locked="1" hidden="1"/>
    </xf>
    <xf numFmtId="0" fontId="44" fillId="13" borderId="84" xfId="0" applyNumberFormat="1" applyFont="1" applyFill="1" applyBorder="1" applyAlignment="1">
      <alignment horizontal="left" vertical="center"/>
      <protection locked="1" hidden="1"/>
    </xf>
    <xf numFmtId="0" fontId="44" fillId="13" borderId="90" xfId="0" applyNumberFormat="1" applyFont="1" applyFill="1" applyBorder="1" applyAlignment="1">
      <alignment horizontal="left" vertical="bottom"/>
      <protection locked="1" hidden="1"/>
    </xf>
    <xf numFmtId="0" fontId="44" fillId="13" borderId="84" xfId="0" applyNumberFormat="1" applyFont="1" applyFill="1" applyBorder="1" applyAlignment="1">
      <alignment horizontal="left" vertical="bottom"/>
      <protection locked="1" hidden="1"/>
    </xf>
    <xf numFmtId="0" fontId="44" fillId="13" borderId="83" xfId="0" applyNumberFormat="1" applyFont="1" applyFill="1" applyBorder="1" applyAlignment="1">
      <alignment horizontal="center" vertical="bottom"/>
      <protection locked="1" hidden="1"/>
    </xf>
    <xf numFmtId="1" fontId="44" fillId="13" borderId="83" xfId="0" applyNumberFormat="1" applyFont="1" applyFill="1" applyBorder="1" applyAlignment="1">
      <alignment horizontal="center" vertical="center"/>
      <protection locked="1" hidden="1"/>
    </xf>
    <xf numFmtId="0" fontId="44" fillId="13" borderId="83" xfId="0" applyNumberFormat="1" applyFont="1" applyFill="1" applyBorder="1" applyAlignment="1">
      <alignment horizontal="left" vertical="center" wrapText="1"/>
      <protection locked="1" hidden="1"/>
    </xf>
    <xf numFmtId="0" fontId="31" fillId="13" borderId="90" xfId="0" applyNumberFormat="1" applyFont="1" applyFill="1" applyBorder="1" applyAlignment="1">
      <alignment horizontal="center" vertical="bottom"/>
      <protection locked="1" hidden="1"/>
    </xf>
    <xf numFmtId="0" fontId="31" fillId="13" borderId="84" xfId="0" applyNumberFormat="1" applyFont="1" applyFill="1" applyBorder="1" applyAlignment="1">
      <alignment horizontal="center" vertical="bottom"/>
      <protection locked="1" hidden="1"/>
    </xf>
    <xf numFmtId="1" fontId="44" fillId="15" borderId="83" xfId="0" applyNumberFormat="1" applyFont="1" applyFill="1" applyBorder="1" applyAlignment="1">
      <alignment horizontal="center" vertical="center"/>
      <protection locked="1" hidden="1"/>
    </xf>
    <xf numFmtId="0" fontId="44" fillId="13" borderId="83" xfId="0" applyNumberFormat="1" applyFont="1" applyFill="1" applyBorder="1" applyAlignment="1">
      <alignment horizontal="right" vertical="bottom"/>
      <protection locked="1" hidden="1"/>
    </xf>
    <xf numFmtId="0" fontId="44" fillId="13" borderId="83" xfId="0" applyNumberFormat="1" applyFont="1" applyFill="1" applyBorder="1" applyAlignment="1">
      <alignment horizontal="left" vertical="top" wrapText="1"/>
      <protection locked="1" hidden="1"/>
    </xf>
    <xf numFmtId="1" fontId="45" fillId="13" borderId="84" xfId="0" applyNumberFormat="1" applyFont="1" applyFill="1" applyBorder="1" applyAlignment="1">
      <alignment horizontal="center" vertical="center"/>
      <protection locked="1" hidden="1"/>
    </xf>
    <xf numFmtId="0" fontId="31" fillId="2" borderId="0" xfId="0" applyNumberFormat="1" applyFont="1" applyFill="1" applyBorder="1" applyAlignment="1">
      <alignment vertical="bottom"/>
      <protection locked="1" hidden="1"/>
    </xf>
    <xf numFmtId="0" fontId="31" fillId="13" borderId="83" xfId="0" applyNumberFormat="1" applyFont="1" applyFill="1" applyBorder="1" applyAlignment="1">
      <alignment horizontal="right" vertical="center"/>
      <protection locked="1" hidden="1"/>
    </xf>
    <xf numFmtId="0" fontId="31" fillId="2" borderId="84" xfId="0" applyNumberFormat="1" applyFont="1" applyFill="1" applyBorder="1">
      <alignment vertical="center"/>
      <protection locked="1" hidden="1"/>
    </xf>
    <xf numFmtId="9" fontId="44" fillId="13" borderId="83" xfId="0" applyNumberFormat="1" applyFont="1" applyFill="1" applyBorder="1" applyAlignment="1">
      <alignment horizontal="center" vertical="center"/>
      <protection locked="1" hidden="1"/>
    </xf>
    <xf numFmtId="0" fontId="44" fillId="13" borderId="83" xfId="0" applyNumberFormat="1" applyFont="1" applyFill="1" applyBorder="1" applyAlignment="1">
      <alignment horizontal="center" vertical="bottom" wrapText="1"/>
      <protection locked="1" hidden="1"/>
    </xf>
    <xf numFmtId="0" fontId="31" fillId="13" borderId="83" xfId="0" applyNumberFormat="1" applyFont="1" applyFill="1" applyBorder="1" applyAlignment="1">
      <alignment horizontal="center" vertical="bottom"/>
      <protection locked="1" hidden="1"/>
    </xf>
    <xf numFmtId="1" fontId="44" fillId="13" borderId="92" xfId="0" applyNumberFormat="1" applyFont="1" applyFill="1" applyBorder="1" applyAlignment="1">
      <alignment horizontal="center" vertical="center"/>
      <protection locked="1" hidden="1"/>
    </xf>
    <xf numFmtId="1" fontId="44" fillId="13" borderId="91" xfId="0" applyNumberFormat="1" applyFont="1" applyFill="1" applyBorder="1" applyAlignment="1">
      <alignment horizontal="right" vertical="center"/>
      <protection locked="1" hidden="1"/>
    </xf>
    <xf numFmtId="1" fontId="44" fillId="13" borderId="93" xfId="0" applyNumberFormat="1" applyFont="1" applyFill="1" applyBorder="1" applyAlignment="1">
      <alignment horizontal="center" vertical="center"/>
      <protection locked="1" hidden="1"/>
    </xf>
    <xf numFmtId="0" fontId="46" fillId="13" borderId="0" xfId="0" applyNumberFormat="1" applyFont="1" applyFill="1" applyBorder="1" applyAlignment="1">
      <alignment horizontal="center" vertical="bottom"/>
      <protection locked="1" hidden="1"/>
    </xf>
    <xf numFmtId="1" fontId="46" fillId="13" borderId="0" xfId="0" applyNumberFormat="1" applyFont="1" applyFill="1" applyBorder="1" applyAlignment="1">
      <alignment horizontal="center" vertical="center"/>
      <protection locked="1" hidden="1"/>
    </xf>
    <xf numFmtId="1" fontId="31" fillId="2" borderId="94" xfId="0" applyNumberFormat="1" applyFont="1" applyFill="1" applyBorder="1" applyAlignment="1">
      <alignment horizontal="center" vertical="center"/>
      <protection locked="1" hidden="1"/>
    </xf>
    <xf numFmtId="0" fontId="44" fillId="13" borderId="95" xfId="0" applyNumberFormat="1" applyFont="1" applyFill="1" applyBorder="1" applyAlignment="1">
      <alignment horizontal="center" vertical="bottom"/>
      <protection locked="1" hidden="1"/>
    </xf>
    <xf numFmtId="9" fontId="44" fillId="13" borderId="95" xfId="0" applyNumberFormat="1" applyFont="1" applyFill="1" applyBorder="1" applyAlignment="1">
      <alignment horizontal="center" vertical="center"/>
      <protection locked="1" hidden="1"/>
    </xf>
    <xf numFmtId="1" fontId="44" fillId="13" borderId="96" xfId="0" applyNumberFormat="1" applyFont="1" applyFill="1" applyBorder="1" applyAlignment="1">
      <alignment horizontal="right" vertical="center"/>
      <protection locked="1" hidden="1"/>
    </xf>
    <xf numFmtId="1" fontId="31" fillId="2" borderId="97" xfId="0" applyNumberFormat="1" applyFont="1" applyFill="1" applyBorder="1" applyAlignment="1">
      <alignment horizontal="center" vertical="center"/>
      <protection locked="1" hidden="1"/>
    </xf>
    <xf numFmtId="0" fontId="44" fillId="13" borderId="98" xfId="0" applyNumberFormat="1" applyFont="1" applyFill="1" applyBorder="1" applyAlignment="1">
      <alignment horizontal="center" vertical="top"/>
      <protection locked="1" hidden="1"/>
    </xf>
    <xf numFmtId="0" fontId="31" fillId="2" borderId="99" xfId="0" applyFont="1" applyFill="1" applyBorder="1" applyAlignment="1">
      <alignment horizontal="center" vertical="center"/>
      <protection locked="1" hidden="1"/>
    </xf>
    <xf numFmtId="0" fontId="31" fillId="2" borderId="100" xfId="0" applyFont="1" applyFill="1" applyBorder="1" applyAlignment="1">
      <alignment horizontal="center" vertical="center"/>
      <protection locked="1" hidden="1"/>
    </xf>
    <xf numFmtId="0" fontId="31" fillId="2" borderId="101" xfId="0" applyFont="1" applyFill="1" applyBorder="1" applyAlignment="1">
      <alignment horizontal="center" vertical="center"/>
      <protection locked="1" hidden="1"/>
    </xf>
    <xf numFmtId="0" fontId="31" fillId="2" borderId="102" xfId="0" applyFont="1" applyFill="1" applyBorder="1">
      <alignment vertical="center"/>
      <protection locked="1" hidden="1"/>
    </xf>
    <xf numFmtId="2" fontId="44" fillId="13" borderId="79" xfId="0" applyNumberFormat="1" applyFont="1" applyFill="1" applyBorder="1" applyAlignment="1">
      <alignment horizontal="left" vertical="bottom"/>
      <protection locked="1" hidden="1"/>
    </xf>
    <xf numFmtId="1" fontId="44" fillId="13" borderId="103" xfId="0" applyNumberFormat="1" applyFont="1" applyFill="1" applyBorder="1" applyAlignment="1">
      <alignment horizontal="right" vertical="center"/>
      <protection locked="1" hidden="1"/>
    </xf>
    <xf numFmtId="1" fontId="44" fillId="13" borderId="104" xfId="0" applyNumberFormat="1" applyFont="1" applyFill="1" applyBorder="1" applyAlignment="1">
      <alignment horizontal="center" vertical="center"/>
      <protection locked="1" hidden="1"/>
    </xf>
    <xf numFmtId="2" fontId="46" fillId="13" borderId="0" xfId="0" applyNumberFormat="1" applyFont="1" applyFill="1" applyBorder="1" applyAlignment="1">
      <alignment horizontal="left" vertical="bottom"/>
      <protection locked="1" hidden="1"/>
    </xf>
    <xf numFmtId="2" fontId="44" fillId="13" borderId="83" xfId="0" applyNumberFormat="1" applyFont="1" applyFill="1" applyBorder="1" applyAlignment="1">
      <alignment horizontal="left" vertical="bottom"/>
      <protection locked="1" hidden="1"/>
    </xf>
    <xf numFmtId="0" fontId="31" fillId="2" borderId="59" xfId="0" applyNumberFormat="1" applyFont="1" applyFill="1" applyBorder="1" applyAlignment="1">
      <alignment horizontal="center" vertical="center"/>
      <protection locked="1" hidden="1"/>
    </xf>
    <xf numFmtId="0" fontId="47" fillId="2" borderId="0" xfId="0" applyNumberFormat="1" applyFont="1" applyFill="1" applyBorder="1">
      <alignment vertical="center"/>
      <protection locked="1" hidden="1"/>
    </xf>
    <xf numFmtId="1" fontId="44" fillId="13" borderId="105" xfId="0" applyNumberFormat="1" applyFont="1" applyFill="1" applyBorder="1" applyAlignment="1">
      <alignment horizontal="center" vertical="center"/>
      <protection locked="1" hidden="1"/>
    </xf>
    <xf numFmtId="1" fontId="44" fillId="13" borderId="83" xfId="0" applyNumberFormat="1" applyFont="1" applyFill="1" applyBorder="1" applyAlignment="1">
      <alignment horizontal="left" vertical="center"/>
      <protection locked="1" hidden="1"/>
    </xf>
    <xf numFmtId="1" fontId="44" fillId="13" borderId="106" xfId="0" applyNumberFormat="1" applyFont="1" applyFill="1" applyBorder="1" applyAlignment="1">
      <alignment horizontal="center" vertical="center"/>
      <protection locked="1" hidden="1"/>
    </xf>
    <xf numFmtId="2" fontId="44" fillId="13" borderId="83" xfId="0" applyNumberFormat="1" applyFont="1" applyFill="1" applyBorder="1" applyAlignment="1">
      <alignment horizontal="right" vertical="center"/>
      <protection locked="1" hidden="1"/>
    </xf>
    <xf numFmtId="0" fontId="44" fillId="13" borderId="83" xfId="0" applyNumberFormat="1" applyFont="1" applyFill="1" applyBorder="1" applyAlignment="1">
      <alignment horizontal="center" vertical="center" wrapText="1"/>
      <protection locked="1" hidden="1"/>
    </xf>
    <xf numFmtId="0" fontId="44" fillId="13" borderId="83" xfId="0" applyNumberFormat="1" applyFont="1" applyFill="1" applyBorder="1" applyAlignment="1">
      <alignment horizontal="center" vertical="center" wrapText="1"/>
      <protection locked="1" hidden="1"/>
    </xf>
    <xf numFmtId="0" fontId="44" fillId="13" borderId="106" xfId="0" applyNumberFormat="1" applyFont="1" applyFill="1" applyBorder="1" applyAlignment="1">
      <alignment horizontal="center" vertical="center" wrapText="1"/>
      <protection locked="1" hidden="1"/>
    </xf>
    <xf numFmtId="1" fontId="31" fillId="13" borderId="83" xfId="0" applyNumberFormat="1" applyFont="1" applyFill="1" applyBorder="1" applyAlignment="1">
      <alignment horizontal="center" vertical="center"/>
      <protection locked="1" hidden="1"/>
    </xf>
    <xf numFmtId="1" fontId="31" fillId="13" borderId="83" xfId="0" applyNumberFormat="1" applyFont="1" applyFill="1" applyBorder="1" applyAlignment="1">
      <alignment horizontal="center" vertical="center"/>
      <protection locked="1" hidden="1"/>
    </xf>
    <xf numFmtId="1" fontId="44" fillId="13" borderId="106" xfId="0" applyNumberFormat="1" applyFont="1" applyFill="1" applyBorder="1" applyAlignment="1">
      <alignment horizontal="center" vertical="center" wrapText="1"/>
      <protection locked="1" hidden="1"/>
    </xf>
    <xf numFmtId="0" fontId="48" fillId="13" borderId="107" xfId="0" applyNumberFormat="1" applyFont="1" applyFill="1" applyBorder="1" applyAlignment="1">
      <alignment horizontal="right" vertical="center"/>
      <protection locked="1" hidden="1"/>
    </xf>
    <xf numFmtId="0" fontId="48" fillId="13" borderId="108" xfId="0" applyNumberFormat="1" applyFont="1" applyFill="1" applyBorder="1" applyAlignment="1">
      <alignment horizontal="right" vertical="center"/>
      <protection locked="1" hidden="1"/>
    </xf>
    <xf numFmtId="1" fontId="44" fillId="13" borderId="109" xfId="0" applyNumberFormat="1" applyFont="1" applyFill="1" applyBorder="1" applyAlignment="1">
      <alignment horizontal="right" vertical="center"/>
      <protection locked="1" hidden="1"/>
    </xf>
    <xf numFmtId="1" fontId="44" fillId="13" borderId="110" xfId="0" applyNumberFormat="1" applyFont="1" applyFill="1" applyBorder="1" applyAlignment="1">
      <alignment horizontal="center" vertical="center"/>
      <protection locked="1" hidden="1"/>
    </xf>
    <xf numFmtId="0" fontId="31" fillId="13" borderId="111" xfId="0" applyNumberFormat="1" applyFont="1" applyFill="1" applyBorder="1" applyAlignment="1">
      <alignment horizontal="right" vertical="center"/>
      <protection locked="1" hidden="1"/>
    </xf>
    <xf numFmtId="0" fontId="31" fillId="13" borderId="0" xfId="0" applyNumberFormat="1" applyFont="1" applyFill="1" applyBorder="1" applyAlignment="1">
      <alignment horizontal="right" vertical="center"/>
      <protection locked="1" hidden="1"/>
    </xf>
    <xf numFmtId="2" fontId="31" fillId="13" borderId="112" xfId="0" applyNumberFormat="1" applyFont="1" applyFill="1" applyBorder="1" applyAlignment="1">
      <alignment horizontal="right" vertical="center"/>
      <protection locked="1" hidden="1"/>
    </xf>
    <xf numFmtId="0" fontId="31" fillId="2" borderId="113" xfId="0" applyNumberFormat="1" applyFont="1" applyFill="1" applyBorder="1" applyAlignment="1">
      <alignment vertical="bottom"/>
      <protection locked="1" hidden="1"/>
    </xf>
    <xf numFmtId="0" fontId="31" fillId="2" borderId="114" xfId="0" applyNumberFormat="1" applyFont="1" applyFill="1" applyBorder="1" applyAlignment="1">
      <alignment vertical="bottom"/>
      <protection locked="1" hidden="1"/>
    </xf>
    <xf numFmtId="0" fontId="31" fillId="13" borderId="114" xfId="0" applyNumberFormat="1" applyFont="1" applyFill="1" applyBorder="1" applyAlignment="1">
      <alignment horizontal="center" vertical="center"/>
      <protection locked="1" hidden="1"/>
    </xf>
    <xf numFmtId="0" fontId="30" fillId="13" borderId="114" xfId="0" applyNumberFormat="1" applyFont="1" applyFill="1" applyBorder="1" applyAlignment="1">
      <alignment horizontal="center" vertical="center"/>
      <protection locked="1" hidden="1"/>
    </xf>
    <xf numFmtId="0" fontId="31" fillId="2" borderId="115" xfId="0" applyNumberFormat="1" applyFont="1" applyFill="1" applyBorder="1" applyAlignment="1">
      <alignment vertical="bottom"/>
      <protection locked="1" hidden="1"/>
    </xf>
    <xf numFmtId="0" fontId="31" fillId="2" borderId="0" xfId="0" applyFont="1" applyFill="1" applyBorder="1">
      <alignment vertical="center"/>
      <protection locked="1" hidden="1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www.wps.cn/officeDocument/2020/cellImage" Target="cellimages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3482933</xdr:colOff>
      <xdr:row>16</xdr:row>
      <xdr:rowOff>0</xdr:rowOff>
    </xdr:from>
    <xdr:to>
      <xdr:col>3</xdr:col>
      <xdr:colOff>0</xdr:colOff>
      <xdr:row>20</xdr:row>
      <xdr:rowOff>266402</xdr:rowOff>
    </xdr:to>
    <xdr:pic>
      <xdr:nvPicPr>
        <xdr:cNvPr id="2" name="Picture 1" descr="20210402_180552.jpg"/>
        <xdr:cNvPicPr/>
      </xdr:nvPicPr>
      <xdr:blipFill>
        <a:blip xmlns:r="http://schemas.openxmlformats.org/officeDocument/2006/relationships" r:embed="rId1"/>
        <a:srcRect l="33764" t="8812" b="9639"/>
        <a:stretch>
          <a:fillRect/>
        </a:stretch>
      </xdr:blipFill>
      <xdr:spPr>
        <a:xfrm>
          <a:off x="7977189" y="6036469"/>
          <a:ext cx="1940718" cy="1845468"/>
        </a:xfrm>
        <a:prstGeom prst="ellipse">
          <a:avLst/>
        </a:prstGeom>
        <a:noFill/>
        <a:ln w="63500" cap="rnd" cmpd="sng">
          <a:solidFill>
            <a:srgbClr val="333333"/>
          </a:solidFill>
          <a:prstDash val="solid"/>
          <a:miter/>
        </a:ln>
        <a:effectLst>
          <a:outerShdw dist="292100" dir="5400000" sx="-80000" sy="-18000" kx="0" algn="b" rotWithShape="0">
            <a:srgbClr val="000000">
              <a:alpha val="22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mailto:vikash9462709937@gmail.com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63"/>
  <sheetViews>
    <sheetView workbookViewId="0" topLeftCell="C1" zoomScale="80">
      <selection activeCell="C9" sqref="C9"/>
    </sheetView>
  </sheetViews>
  <sheetFormatPr defaultRowHeight="30.0" customHeight="1" defaultColWidth="10"/>
  <cols>
    <col min="1" max="1" customWidth="1" bestFit="1" width="10.0" style="1"/>
    <col min="2" max="2" customWidth="1" width="48.875" style="1"/>
    <col min="3" max="3" customWidth="1" width="70.875" style="1"/>
    <col min="4" max="4" customWidth="1" width="51.25" style="2"/>
    <col min="5" max="5" customWidth="1" width="27.375" style="1"/>
    <col min="6" max="6" customWidth="1" bestFit="1" width="10.0" style="1"/>
    <col min="7" max="16384" customWidth="0" width="10.0" style="1"/>
  </cols>
  <sheetData>
    <row r="1" spans="8:8" ht="30.0" customHeight="1">
      <c r="A1" s="3"/>
      <c r="B1" s="4"/>
      <c r="C1" s="4"/>
      <c r="D1" s="5"/>
      <c r="E1" s="4"/>
      <c r="F1" s="6"/>
    </row>
    <row r="2" spans="8:8" ht="30.0" customHeight="1">
      <c r="A2" s="4"/>
      <c r="B2" s="7" t="s">
        <v>3</v>
      </c>
      <c r="C2" s="8" t="s">
        <v>183</v>
      </c>
      <c r="D2" s="9" t="s">
        <v>11</v>
      </c>
      <c r="E2" s="10" t="s">
        <v>186</v>
      </c>
      <c r="F2" s="4"/>
    </row>
    <row r="3" spans="8:8" ht="30.0" customHeight="1">
      <c r="A3" s="4"/>
      <c r="B3" s="11" t="s">
        <v>4</v>
      </c>
      <c r="C3" s="12" t="s">
        <v>206</v>
      </c>
      <c r="D3" s="13" t="s">
        <v>12</v>
      </c>
      <c r="E3" s="14" t="s">
        <v>200</v>
      </c>
      <c r="F3" s="4"/>
    </row>
    <row r="4" spans="8:8" ht="30.0" customHeight="1">
      <c r="A4" s="4"/>
      <c r="B4" s="11" t="s">
        <v>5</v>
      </c>
      <c r="C4" s="8" t="s">
        <v>179</v>
      </c>
      <c r="D4" s="13" t="s">
        <v>13</v>
      </c>
      <c r="E4" s="10">
        <v>1.2345678912E10</v>
      </c>
      <c r="F4" s="4"/>
    </row>
    <row r="5" spans="8:8" ht="33.75" customHeight="1">
      <c r="A5" s="4"/>
      <c r="B5" s="11" t="s">
        <v>25</v>
      </c>
      <c r="C5" s="8" t="s">
        <v>24</v>
      </c>
      <c r="D5" s="13" t="s">
        <v>14</v>
      </c>
      <c r="E5" s="10" t="s">
        <v>143</v>
      </c>
      <c r="F5" s="4"/>
    </row>
    <row r="6" spans="8:8" ht="30.0" customHeight="1">
      <c r="A6" s="4"/>
      <c r="B6" s="11" t="s">
        <v>6</v>
      </c>
      <c r="C6" s="15">
        <v>123456.0</v>
      </c>
      <c r="D6" s="13" t="s">
        <v>26</v>
      </c>
      <c r="E6" s="10" t="s">
        <v>180</v>
      </c>
      <c r="F6" s="4"/>
    </row>
    <row r="7" spans="8:8" ht="30.0" customHeight="1">
      <c r="A7" s="4"/>
      <c r="B7" s="11" t="s">
        <v>7</v>
      </c>
      <c r="C7" s="15">
        <v>123456.0</v>
      </c>
      <c r="D7" s="13" t="s">
        <v>21</v>
      </c>
      <c r="E7" s="10" t="s">
        <v>184</v>
      </c>
      <c r="F7" s="4"/>
    </row>
    <row r="8" spans="8:8" ht="30.0" customHeight="1">
      <c r="A8" s="4"/>
      <c r="B8" s="11" t="s">
        <v>8</v>
      </c>
      <c r="C8" s="15">
        <v>50800.0</v>
      </c>
      <c r="D8" s="13" t="s">
        <v>15</v>
      </c>
      <c r="E8" s="10">
        <v>2100.0</v>
      </c>
      <c r="F8" s="4"/>
    </row>
    <row r="9" spans="8:8" ht="30.0" customHeight="1">
      <c r="A9" s="4"/>
      <c r="B9" s="11" t="s">
        <v>9</v>
      </c>
      <c r="C9" s="15" t="s">
        <v>194</v>
      </c>
      <c r="D9" s="16" t="s">
        <v>35</v>
      </c>
      <c r="E9" s="10"/>
      <c r="F9" s="4"/>
    </row>
    <row r="10" spans="8:8" ht="30.0" customHeight="1">
      <c r="A10" s="4"/>
      <c r="B10" s="17" t="s">
        <v>10</v>
      </c>
      <c r="C10" s="18" t="s">
        <v>196</v>
      </c>
      <c r="D10" s="13" t="s">
        <v>36</v>
      </c>
      <c r="E10" s="10"/>
      <c r="F10" s="4"/>
    </row>
    <row r="11" spans="8:8" ht="30.0" customHeight="1">
      <c r="A11" s="4"/>
      <c r="B11" s="11" t="s">
        <v>19</v>
      </c>
      <c r="C11" s="15"/>
      <c r="D11" s="16" t="s">
        <v>16</v>
      </c>
      <c r="E11" s="10" t="s">
        <v>2</v>
      </c>
      <c r="F11" s="4"/>
    </row>
    <row r="12" spans="8:8" ht="30.0" customHeight="1">
      <c r="A12" s="4"/>
      <c r="B12" s="11" t="s">
        <v>32</v>
      </c>
      <c r="C12" s="19">
        <v>0.1</v>
      </c>
      <c r="D12" s="16" t="s">
        <v>18</v>
      </c>
      <c r="E12" s="10">
        <v>5000.0</v>
      </c>
      <c r="F12" s="4"/>
    </row>
    <row r="13" spans="8:8" ht="39.75" customHeight="1">
      <c r="A13" s="4"/>
      <c r="B13" s="17" t="s">
        <v>17</v>
      </c>
      <c r="C13" s="15"/>
      <c r="D13" s="20" t="s">
        <v>27</v>
      </c>
      <c r="E13" s="10" t="s">
        <v>201</v>
      </c>
      <c r="F13" s="4"/>
    </row>
    <row r="14" spans="8:8" ht="39.75" customHeight="1">
      <c r="A14" s="4"/>
      <c r="B14" s="11"/>
      <c r="C14" s="21"/>
      <c r="D14" s="20"/>
      <c r="E14" s="22"/>
      <c r="F14" s="4"/>
    </row>
    <row r="15" spans="8:8" ht="39.75" customHeight="1">
      <c r="A15" s="4"/>
      <c r="B15" s="23" t="s">
        <v>29</v>
      </c>
      <c r="C15" s="24"/>
      <c r="D15" s="25" t="s">
        <v>20</v>
      </c>
      <c r="E15" s="26">
        <f>'Computation '!O66</f>
        <v>100462.0</v>
      </c>
      <c r="F15" s="4"/>
    </row>
    <row r="16" spans="8:8" ht="30.0" customHeight="1">
      <c r="A16" s="6"/>
      <c r="B16" s="27"/>
      <c r="C16" s="27"/>
      <c r="D16" s="28"/>
      <c r="E16" s="28"/>
      <c r="F16" s="6"/>
    </row>
    <row r="17" spans="8:8" ht="30.0" customHeight="1">
      <c r="A17" s="6"/>
      <c r="B17" s="29"/>
      <c r="C17" s="30" t="s">
        <v>33</v>
      </c>
      <c r="D17" s="31"/>
      <c r="E17" s="29"/>
      <c r="F17" s="6"/>
    </row>
    <row r="18" spans="8:8" ht="30.0" customHeight="1">
      <c r="A18" s="6"/>
      <c r="B18" s="29"/>
      <c r="C18" s="32" t="s">
        <v>192</v>
      </c>
      <c r="D18" s="31"/>
      <c r="E18" s="29"/>
      <c r="F18" s="6"/>
    </row>
    <row r="19" spans="8:8" ht="30.0" customHeight="1">
      <c r="A19" s="6"/>
      <c r="B19" s="29"/>
      <c r="C19" s="32" t="s">
        <v>191</v>
      </c>
      <c r="D19" s="31"/>
      <c r="E19" s="29"/>
      <c r="F19" s="6"/>
    </row>
    <row r="20" spans="8:8" ht="30.0" customHeight="1">
      <c r="A20" s="6"/>
      <c r="B20" s="29"/>
      <c r="C20" s="32" t="s">
        <v>193</v>
      </c>
      <c r="D20" s="31"/>
      <c r="E20" s="29"/>
      <c r="F20" s="6"/>
    </row>
    <row r="21" spans="8:8" ht="30.0" customHeight="1">
      <c r="A21" s="6"/>
      <c r="B21" s="29"/>
      <c r="C21" s="33" t="s">
        <v>34</v>
      </c>
      <c r="D21" s="31"/>
      <c r="E21" s="29"/>
      <c r="F21" s="6"/>
    </row>
    <row r="22" spans="8:8" ht="30.0" customHeight="1">
      <c r="A22" s="6"/>
      <c r="B22" s="28"/>
      <c r="C22" s="28"/>
      <c r="D22" s="28"/>
      <c r="E22" s="28"/>
      <c r="F22" s="6"/>
    </row>
    <row r="23" spans="8:8" ht="30.0" customHeight="1">
      <c r="A23" s="34"/>
      <c r="B23" s="34"/>
      <c r="C23" s="34"/>
      <c r="D23" s="35"/>
      <c r="E23" s="34"/>
      <c r="F23" s="34"/>
    </row>
    <row r="24" spans="8:8" ht="30.0" customHeight="1">
      <c r="A24" s="34"/>
      <c r="B24" s="34"/>
      <c r="C24" s="34"/>
      <c r="E24" s="34"/>
      <c r="F24" s="34"/>
    </row>
    <row r="25" spans="8:8" ht="30.0" customHeight="1">
      <c r="A25" s="34"/>
      <c r="B25" s="34"/>
      <c r="C25" s="34"/>
      <c r="E25" s="34"/>
      <c r="F25" s="34"/>
    </row>
    <row r="26" spans="8:8" ht="30.0" customHeight="1">
      <c r="A26" s="34"/>
      <c r="B26" s="34"/>
      <c r="C26" s="34"/>
      <c r="E26" s="34"/>
      <c r="F26" s="34"/>
    </row>
    <row r="27" spans="8:8" ht="30.0" customHeight="1">
      <c r="A27" s="34"/>
      <c r="B27" s="34"/>
      <c r="C27" s="34"/>
      <c r="E27" s="34"/>
      <c r="F27" s="34"/>
    </row>
    <row r="28" spans="8:8" ht="30.0" customHeight="1">
      <c r="A28" s="34"/>
      <c r="B28" s="34"/>
      <c r="C28" s="34"/>
      <c r="E28" s="34"/>
      <c r="F28" s="34"/>
    </row>
    <row r="29" spans="8:8" ht="30.0" customHeight="1">
      <c r="A29" s="34"/>
      <c r="B29" s="34"/>
      <c r="C29" s="34"/>
      <c r="E29" s="34"/>
      <c r="F29" s="34"/>
    </row>
    <row r="30" spans="8:8" ht="30.0" customHeight="1">
      <c r="A30" s="34"/>
      <c r="B30" s="34"/>
      <c r="C30" s="34"/>
      <c r="E30" s="34"/>
      <c r="F30" s="34"/>
    </row>
    <row r="31" spans="8:8" ht="30.0" customHeight="1">
      <c r="A31" s="34"/>
      <c r="B31" s="34"/>
      <c r="C31" s="34"/>
      <c r="E31" s="34"/>
      <c r="F31" s="34"/>
    </row>
    <row r="32" spans="8:8" ht="30.0" customHeight="1">
      <c r="A32" s="34"/>
      <c r="B32" s="34"/>
      <c r="C32" s="34"/>
      <c r="E32" s="34"/>
      <c r="F32" s="34"/>
    </row>
    <row r="33" spans="8:8" ht="30.0" customHeight="1">
      <c r="A33" s="34"/>
      <c r="B33" s="34"/>
      <c r="C33" s="34"/>
      <c r="E33" s="34"/>
      <c r="F33" s="34"/>
    </row>
    <row r="34" spans="8:8" ht="30.0" customHeight="1">
      <c r="A34" s="34"/>
      <c r="B34" s="34"/>
      <c r="C34" s="34"/>
      <c r="E34" s="34"/>
      <c r="F34" s="34"/>
    </row>
    <row r="35" spans="8:8" ht="30.0" customHeight="1">
      <c r="A35" s="34"/>
      <c r="B35" s="34"/>
      <c r="C35" s="34"/>
      <c r="E35" s="34"/>
      <c r="F35" s="34"/>
    </row>
    <row r="36" spans="8:8" ht="30.0" customHeight="1">
      <c r="A36" s="34"/>
      <c r="B36" s="34"/>
      <c r="C36" s="34"/>
      <c r="E36" s="34"/>
      <c r="F36" s="34"/>
    </row>
    <row r="37" spans="8:8" ht="30.0" customHeight="1">
      <c r="A37" s="34"/>
      <c r="B37" s="34"/>
      <c r="C37" s="34"/>
      <c r="E37" s="34"/>
      <c r="F37" s="34"/>
    </row>
    <row r="38" spans="8:8" ht="30.0" customHeight="1">
      <c r="A38" s="34"/>
      <c r="B38" s="34"/>
      <c r="C38" s="34"/>
      <c r="E38" s="34"/>
      <c r="F38" s="34"/>
    </row>
    <row r="39" spans="8:8" ht="30.0" customHeight="1">
      <c r="A39" s="34"/>
      <c r="B39" s="34"/>
      <c r="C39" s="34"/>
      <c r="E39" s="34"/>
      <c r="F39" s="34"/>
    </row>
    <row r="40" spans="8:8" ht="30.0" customHeight="1">
      <c r="A40" s="34"/>
      <c r="B40" s="34"/>
      <c r="C40" s="34"/>
      <c r="E40" s="34"/>
      <c r="F40" s="34"/>
    </row>
    <row r="41" spans="8:8" ht="30.0" customHeight="1">
      <c r="A41" s="34"/>
      <c r="B41" s="34"/>
      <c r="C41" s="34"/>
      <c r="E41" s="34"/>
      <c r="F41" s="34"/>
    </row>
    <row r="42" spans="8:8" ht="30.0" customHeight="1">
      <c r="A42" s="34"/>
      <c r="B42" s="34"/>
      <c r="C42" s="34"/>
      <c r="E42" s="34"/>
      <c r="F42" s="34"/>
    </row>
    <row r="43" spans="8:8" ht="30.0" customHeight="1">
      <c r="A43" s="34"/>
      <c r="B43" s="34"/>
      <c r="C43" s="34"/>
      <c r="E43" s="34"/>
      <c r="F43" s="34"/>
    </row>
    <row r="44" spans="8:8" ht="30.0" customHeight="1">
      <c r="A44" s="34"/>
      <c r="B44" s="34"/>
      <c r="C44" s="34"/>
      <c r="E44" s="34"/>
      <c r="F44" s="34"/>
    </row>
    <row r="45" spans="8:8" ht="30.0" customHeight="1">
      <c r="A45" s="34"/>
      <c r="B45" s="34"/>
      <c r="C45" s="34"/>
      <c r="E45" s="34"/>
      <c r="F45" s="34"/>
    </row>
    <row r="46" spans="8:8" ht="30.0" customHeight="1">
      <c r="A46" s="34"/>
      <c r="B46" s="34"/>
      <c r="C46" s="34"/>
      <c r="E46" s="34"/>
      <c r="F46" s="34"/>
    </row>
    <row r="47" spans="8:8" ht="30.0" customHeight="1">
      <c r="A47" s="34"/>
      <c r="B47" s="34"/>
      <c r="C47" s="34"/>
      <c r="E47" s="34"/>
      <c r="F47" s="34"/>
    </row>
    <row r="48" spans="8:8" ht="30.0" customHeight="1">
      <c r="A48" s="34"/>
      <c r="B48" s="34"/>
      <c r="C48" s="34"/>
      <c r="E48" s="34"/>
      <c r="F48" s="34"/>
    </row>
    <row r="49" spans="8:8" ht="30.0" customHeight="1">
      <c r="A49" s="34"/>
      <c r="B49" s="34"/>
      <c r="C49" s="34"/>
      <c r="E49" s="34"/>
      <c r="F49" s="34"/>
    </row>
    <row r="50" spans="8:8" ht="30.0" customHeight="1">
      <c r="A50" s="34"/>
      <c r="B50" s="34"/>
      <c r="C50" s="34"/>
      <c r="E50" s="34"/>
      <c r="F50" s="34"/>
    </row>
    <row r="51" spans="8:8" ht="30.0" customHeight="1">
      <c r="A51" s="34"/>
      <c r="B51" s="34"/>
      <c r="C51" s="34"/>
      <c r="E51" s="34"/>
      <c r="F51" s="34"/>
    </row>
    <row r="52" spans="8:8" ht="30.0" customHeight="1">
      <c r="A52" s="34"/>
      <c r="B52" s="34"/>
      <c r="C52" s="34"/>
      <c r="E52" s="34"/>
      <c r="F52" s="34"/>
    </row>
    <row r="53" spans="8:8" ht="30.0" customHeight="1">
      <c r="A53" s="34"/>
      <c r="B53" s="34"/>
      <c r="C53" s="34"/>
      <c r="E53" s="34"/>
      <c r="F53" s="34"/>
    </row>
    <row r="54" spans="8:8" ht="30.0" customHeight="1">
      <c r="A54" s="34"/>
      <c r="B54" s="34"/>
      <c r="C54" s="34"/>
      <c r="E54" s="34"/>
      <c r="F54" s="34"/>
    </row>
    <row r="55" spans="8:8" ht="30.0" customHeight="1">
      <c r="A55" s="34"/>
      <c r="B55" s="34"/>
      <c r="C55" s="34"/>
      <c r="E55" s="34"/>
      <c r="F55" s="34"/>
    </row>
    <row r="56" spans="8:8" ht="30.0" customHeight="1">
      <c r="A56" s="34"/>
      <c r="B56" s="34"/>
      <c r="C56" s="34"/>
      <c r="E56" s="34"/>
      <c r="F56" s="34"/>
    </row>
    <row r="57" spans="8:8" ht="30.0" customHeight="1">
      <c r="A57" s="34"/>
      <c r="B57" s="34"/>
      <c r="C57" s="34"/>
      <c r="E57" s="34"/>
      <c r="F57" s="34"/>
    </row>
    <row r="58" spans="8:8" ht="30.0" customHeight="1">
      <c r="A58" s="34"/>
      <c r="B58" s="34"/>
      <c r="C58" s="34"/>
      <c r="E58" s="34"/>
      <c r="F58" s="34"/>
    </row>
    <row r="59" spans="8:8" ht="30.0" customHeight="1">
      <c r="A59" s="34"/>
      <c r="B59" s="34"/>
      <c r="C59" s="34"/>
      <c r="E59" s="34"/>
      <c r="F59" s="34"/>
    </row>
    <row r="60" spans="8:8" ht="30.0" customHeight="1">
      <c r="A60" s="34"/>
      <c r="B60" s="34"/>
      <c r="C60" s="34"/>
      <c r="E60" s="34"/>
      <c r="F60" s="34"/>
    </row>
    <row r="61" spans="8:8" ht="30.0" customHeight="1">
      <c r="A61" s="34"/>
      <c r="B61" s="34"/>
      <c r="C61" s="34"/>
      <c r="E61" s="34"/>
      <c r="F61" s="34"/>
    </row>
    <row r="62" spans="8:8" ht="30.0" customHeight="1">
      <c r="A62" s="34"/>
      <c r="B62" s="34"/>
      <c r="C62" s="34"/>
      <c r="E62" s="34"/>
      <c r="F62" s="34"/>
    </row>
    <row r="63" spans="8:8" ht="30.0" customHeight="1">
      <c r="A63" s="34"/>
      <c r="B63" s="34"/>
      <c r="C63" s="34"/>
      <c r="E63" s="34"/>
      <c r="F63" s="34"/>
    </row>
  </sheetData>
  <sheetProtection password="cceb" sheet="1" objects="1" scenarios="1" formatCells="0" formatColumns="0" formatRows="0" insertColumns="0" insertRows="0"/>
  <dataValidations count="8">
    <dataValidation allowBlank="1" type="list" errorStyle="stop" showInputMessage="1" showErrorMessage="1" sqref="E5">
      <formula1>"GAZETTED ,NON GAZETTED "</formula1>
    </dataValidation>
    <dataValidation allowBlank="1" type="list" errorStyle="stop" showInputMessage="1" showErrorMessage="1" sqref="E13:E14">
      <formula1>"Yes,No"</formula1>
    </dataValidation>
    <dataValidation allowBlank="1" type="list" errorStyle="stop" showInputMessage="1" showErrorMessage="1" sqref="E6">
      <formula1>"Yes,No"</formula1>
    </dataValidation>
    <dataValidation allowBlank="1" type="list" errorStyle="stop" showInputMessage="1" showErrorMessage="1" sqref="E8">
      <formula1>"700,1400,2100"</formula1>
    </dataValidation>
    <dataValidation allowBlank="1" type="list" errorStyle="stop" showInputMessage="1" showErrorMessage="1" sqref="E11">
      <formula1>"Fix Pay,Regular Pay"</formula1>
    </dataValidation>
    <dataValidation allowBlank="1" type="list" errorStyle="stop" showInputMessage="1" showErrorMessage="1" sqref="C9">
      <formula1>"YES,NO"</formula1>
    </dataValidation>
    <dataValidation allowBlank="1" type="list" errorStyle="stop" showInputMessage="1" showErrorMessage="1" sqref="C10">
      <formula1>"Mar.25,Apr.25,May.25,Jun.25,Jul.25,Aug.25,Sep.25,Oct.25,Nov.25,Dec.25,Jan.26,Feb.26"</formula1>
    </dataValidation>
    <dataValidation allowBlank="1" type="list" errorStyle="stop" showInputMessage="1" showErrorMessage="1" sqref="C12">
      <formula1>"10%,20%"</formula1>
    </dataValidation>
  </dataValidations>
  <hyperlinks>
    <hyperlink ref="C21" r:id="rId2"/>
  </hyperlink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R27"/>
  <sheetViews>
    <sheetView workbookViewId="0" topLeftCell="J6">
      <selection activeCell="K12" sqref="K12:L12"/>
    </sheetView>
  </sheetViews>
  <sheetFormatPr defaultRowHeight="14.25" defaultColWidth="10"/>
  <cols>
    <col min="1" max="1" customWidth="1" bestFit="1" width="10.0" style="36"/>
    <col min="2" max="4" customWidth="0" width="10.0" style="36"/>
    <col min="5" max="5" customWidth="1" width="17.125" style="36"/>
    <col min="6" max="9" customWidth="0" width="10.0" style="36"/>
    <col min="10" max="10" customWidth="1" width="47.0" style="36"/>
    <col min="11" max="16384" customWidth="0" width="10.0" style="36"/>
  </cols>
  <sheetData>
    <row r="1" spans="8:8">
      <c r="A1" s="37"/>
      <c r="B1" s="38"/>
      <c r="C1" s="39"/>
      <c r="D1" s="40"/>
      <c r="E1" s="40"/>
      <c r="F1" s="40"/>
      <c r="G1" s="40"/>
      <c r="H1" s="40"/>
      <c r="I1" s="40"/>
      <c r="J1" s="40"/>
      <c r="K1" s="40"/>
      <c r="L1" s="41"/>
      <c r="M1" s="42"/>
      <c r="N1" s="42"/>
    </row>
    <row r="2" spans="8:8">
      <c r="A2" s="37"/>
      <c r="B2" s="38"/>
      <c r="C2" s="43"/>
      <c r="D2" s="43"/>
      <c r="E2" s="43"/>
      <c r="F2" s="43"/>
      <c r="G2" s="43"/>
      <c r="H2" s="43"/>
      <c r="I2" s="43"/>
      <c r="J2" s="43"/>
      <c r="K2" s="43"/>
      <c r="L2" s="44"/>
      <c r="M2" s="42"/>
      <c r="N2" s="42"/>
    </row>
    <row r="3" spans="8:8">
      <c r="A3" s="37"/>
      <c r="B3" s="38"/>
      <c r="C3" s="43"/>
      <c r="D3" s="43"/>
      <c r="E3" s="43"/>
      <c r="F3" s="43"/>
      <c r="G3" s="43"/>
      <c r="H3" s="43"/>
      <c r="I3" s="43"/>
      <c r="J3" s="45"/>
      <c r="K3" s="43"/>
      <c r="L3" s="44"/>
      <c r="M3" s="42"/>
      <c r="N3" s="42"/>
    </row>
    <row r="4" spans="8:8">
      <c r="A4" s="37"/>
      <c r="B4" s="38"/>
      <c r="C4" s="46"/>
      <c r="D4" s="43"/>
      <c r="E4" s="43"/>
      <c r="F4" s="43"/>
      <c r="G4" s="43"/>
      <c r="H4" s="43"/>
      <c r="I4" s="43"/>
      <c r="J4" s="43"/>
      <c r="K4" s="45"/>
      <c r="L4" s="44"/>
      <c r="M4" s="42"/>
      <c r="N4" s="42"/>
    </row>
    <row r="5" spans="8:8" ht="19.5" customHeight="1">
      <c r="A5" s="37"/>
      <c r="B5" s="47"/>
      <c r="C5" s="48" t="s">
        <v>77</v>
      </c>
      <c r="D5" s="49"/>
      <c r="E5" s="50"/>
      <c r="F5" s="51"/>
      <c r="G5" s="52" t="s">
        <v>75</v>
      </c>
      <c r="H5" s="49"/>
      <c r="I5" s="49"/>
      <c r="J5" s="53"/>
      <c r="K5" s="54"/>
      <c r="L5" s="55"/>
      <c r="M5" s="56"/>
      <c r="N5" s="56"/>
      <c r="O5" s="57"/>
    </row>
    <row r="6" spans="8:8" ht="19.5" customHeight="1">
      <c r="A6" s="37"/>
      <c r="B6" s="38"/>
      <c r="C6" s="58" t="s">
        <v>81</v>
      </c>
      <c r="D6" s="59"/>
      <c r="E6" s="60"/>
      <c r="F6" s="61"/>
      <c r="G6" s="62" t="s">
        <v>79</v>
      </c>
      <c r="H6" s="59"/>
      <c r="I6" s="59"/>
      <c r="J6" s="60"/>
      <c r="K6" s="63"/>
      <c r="L6" s="64"/>
      <c r="M6" s="56"/>
      <c r="N6" s="56"/>
    </row>
    <row r="7" spans="8:8" ht="19.5" customHeight="1">
      <c r="A7" s="37"/>
      <c r="B7" s="47"/>
      <c r="C7" s="48" t="s">
        <v>85</v>
      </c>
      <c r="D7" s="49"/>
      <c r="E7" s="50"/>
      <c r="F7" s="51"/>
      <c r="G7" s="65" t="s">
        <v>37</v>
      </c>
      <c r="H7" s="53"/>
      <c r="I7" s="53"/>
      <c r="J7" s="50"/>
      <c r="K7" s="66"/>
      <c r="L7" s="55"/>
      <c r="M7" s="56"/>
      <c r="N7" s="56"/>
    </row>
    <row r="8" spans="8:8" ht="19.5" customHeight="1">
      <c r="A8" s="37"/>
      <c r="B8" s="47"/>
      <c r="C8" s="67" t="s">
        <v>175</v>
      </c>
      <c r="D8" s="65"/>
      <c r="E8" s="68"/>
      <c r="F8" s="69"/>
      <c r="G8" s="70" t="s">
        <v>176</v>
      </c>
      <c r="H8" s="71"/>
      <c r="I8" s="71"/>
      <c r="J8" s="72"/>
      <c r="K8" s="73"/>
      <c r="L8" s="74"/>
      <c r="M8" s="56"/>
      <c r="N8" s="56"/>
    </row>
    <row r="9" spans="8:8" ht="19.5" customHeight="1">
      <c r="A9" s="37"/>
      <c r="B9" s="47"/>
      <c r="C9" s="67" t="s">
        <v>177</v>
      </c>
      <c r="D9" s="65"/>
      <c r="E9" s="68"/>
      <c r="F9" s="69"/>
      <c r="G9" s="70" t="s">
        <v>178</v>
      </c>
      <c r="H9" s="71"/>
      <c r="I9" s="71"/>
      <c r="J9" s="72"/>
      <c r="K9" s="73"/>
      <c r="L9" s="74"/>
      <c r="M9" s="56"/>
      <c r="N9" s="56"/>
    </row>
    <row r="10" spans="8:8" ht="19.5" customHeight="1">
      <c r="A10" s="37"/>
      <c r="B10" s="38"/>
      <c r="C10" s="75" t="s">
        <v>63</v>
      </c>
      <c r="D10" s="76"/>
      <c r="E10" s="77"/>
      <c r="F10" s="78"/>
      <c r="G10" s="79" t="s">
        <v>87</v>
      </c>
      <c r="H10" s="76"/>
      <c r="I10" s="76"/>
      <c r="J10" s="77"/>
      <c r="K10" s="63"/>
      <c r="L10" s="64"/>
      <c r="M10" s="56"/>
      <c r="N10" s="56"/>
    </row>
    <row r="11" spans="8:8" ht="19.5" customHeight="1">
      <c r="A11" s="37"/>
      <c r="B11" s="47"/>
      <c r="C11" s="80" t="s">
        <v>62</v>
      </c>
      <c r="D11" s="81"/>
      <c r="E11" s="82"/>
      <c r="F11" s="51"/>
      <c r="G11" s="52" t="s">
        <v>90</v>
      </c>
      <c r="H11" s="49"/>
      <c r="I11" s="49"/>
      <c r="J11" s="50"/>
      <c r="K11" s="66"/>
      <c r="L11" s="55"/>
      <c r="M11" s="56"/>
      <c r="N11" s="56"/>
    </row>
    <row r="12" spans="8:8" ht="19.5" customHeight="1">
      <c r="A12" s="37"/>
      <c r="B12" s="38"/>
      <c r="C12" s="83" t="s">
        <v>55</v>
      </c>
      <c r="D12" s="84"/>
      <c r="E12" s="85"/>
      <c r="F12" s="51"/>
      <c r="G12" s="86" t="s">
        <v>59</v>
      </c>
      <c r="H12" s="87"/>
      <c r="I12" s="87"/>
      <c r="J12" s="88"/>
      <c r="K12" s="73">
        <v>1200.0</v>
      </c>
      <c r="L12" s="74"/>
      <c r="M12" s="56"/>
      <c r="N12" s="56"/>
    </row>
    <row r="13" spans="8:8" ht="19.5" customHeight="1">
      <c r="A13" s="37"/>
      <c r="B13" s="38"/>
      <c r="C13" s="48" t="s">
        <v>96</v>
      </c>
      <c r="D13" s="49"/>
      <c r="E13" s="50"/>
      <c r="F13" s="51"/>
      <c r="G13" s="52" t="s">
        <v>94</v>
      </c>
      <c r="H13" s="49"/>
      <c r="I13" s="49"/>
      <c r="J13" s="50"/>
      <c r="K13" s="66"/>
      <c r="L13" s="55"/>
      <c r="M13" s="56"/>
      <c r="N13" s="56"/>
      <c r="O13" s="57"/>
    </row>
    <row r="14" spans="8:8" ht="19.5" customHeight="1">
      <c r="A14" s="37"/>
      <c r="B14" s="38"/>
      <c r="C14" s="48" t="s">
        <v>100</v>
      </c>
      <c r="D14" s="49"/>
      <c r="E14" s="50"/>
      <c r="F14" s="51"/>
      <c r="G14" s="52" t="s">
        <v>98</v>
      </c>
      <c r="H14" s="49"/>
      <c r="I14" s="49"/>
      <c r="J14" s="50"/>
      <c r="K14" s="66"/>
      <c r="L14" s="55"/>
      <c r="M14" s="56"/>
      <c r="N14" s="56"/>
    </row>
    <row r="15" spans="8:8" ht="19.5" customHeight="1">
      <c r="A15" s="37"/>
      <c r="B15" s="38"/>
      <c r="C15" s="89" t="s">
        <v>104</v>
      </c>
      <c r="D15" s="90"/>
      <c r="E15" s="91"/>
      <c r="F15" s="92"/>
      <c r="G15" s="93" t="s">
        <v>102</v>
      </c>
      <c r="H15" s="90"/>
      <c r="I15" s="90"/>
      <c r="J15" s="91"/>
      <c r="K15" s="94"/>
      <c r="L15" s="95"/>
      <c r="M15" s="56"/>
      <c r="N15" s="56"/>
    </row>
    <row r="16" spans="8:8" ht="19.5" customHeight="1">
      <c r="A16" s="37"/>
      <c r="B16" s="47"/>
      <c r="C16" s="96" t="s">
        <v>108</v>
      </c>
      <c r="D16" s="97"/>
      <c r="E16" s="98"/>
      <c r="F16" s="69"/>
      <c r="G16" s="48" t="s">
        <v>106</v>
      </c>
      <c r="H16" s="49"/>
      <c r="I16" s="49"/>
      <c r="J16" s="50"/>
      <c r="K16" s="66"/>
      <c r="L16" s="55"/>
      <c r="M16" s="99"/>
      <c r="N16" s="56"/>
    </row>
    <row r="17" spans="8:8" ht="19.5" customHeight="1">
      <c r="A17" s="37"/>
      <c r="B17" s="38"/>
      <c r="C17" s="100" t="s">
        <v>115</v>
      </c>
      <c r="D17" s="101"/>
      <c r="E17" s="101"/>
      <c r="F17" s="101"/>
      <c r="G17" s="101"/>
      <c r="H17" s="101"/>
      <c r="I17" s="101"/>
      <c r="J17" s="77"/>
      <c r="K17" s="102"/>
      <c r="L17" s="103"/>
      <c r="M17" s="104"/>
      <c r="N17" s="104"/>
    </row>
    <row r="18" spans="8:8" ht="19.5" customHeight="1">
      <c r="A18" s="37"/>
      <c r="B18" s="47"/>
      <c r="C18" s="67" t="s">
        <v>116</v>
      </c>
      <c r="D18" s="53"/>
      <c r="E18" s="53"/>
      <c r="F18" s="53"/>
      <c r="G18" s="53"/>
      <c r="H18" s="53"/>
      <c r="I18" s="53"/>
      <c r="J18" s="50"/>
      <c r="K18" s="105"/>
      <c r="L18" s="106"/>
      <c r="M18" s="104"/>
      <c r="N18" s="104"/>
    </row>
    <row r="19" spans="8:8" ht="19.5" customHeight="1">
      <c r="A19" s="37"/>
      <c r="B19" s="38"/>
      <c r="C19" s="67" t="s">
        <v>117</v>
      </c>
      <c r="D19" s="53"/>
      <c r="E19" s="53"/>
      <c r="F19" s="53"/>
      <c r="G19" s="53"/>
      <c r="H19" s="53"/>
      <c r="I19" s="53"/>
      <c r="J19" s="50"/>
      <c r="K19" s="105"/>
      <c r="L19" s="106"/>
      <c r="M19" s="104"/>
      <c r="N19" s="104"/>
    </row>
    <row r="20" spans="8:8" ht="19.5" customHeight="1">
      <c r="A20" s="37"/>
      <c r="B20" s="38"/>
      <c r="C20" s="67" t="s">
        <v>118</v>
      </c>
      <c r="D20" s="53"/>
      <c r="E20" s="53"/>
      <c r="F20" s="53"/>
      <c r="G20" s="53"/>
      <c r="H20" s="53"/>
      <c r="I20" s="53"/>
      <c r="J20" s="50"/>
      <c r="K20" s="105"/>
      <c r="L20" s="106"/>
      <c r="M20" s="104"/>
      <c r="N20" s="104"/>
    </row>
    <row r="21" spans="8:8" ht="19.5" customHeight="1">
      <c r="A21" s="37"/>
      <c r="B21" s="38"/>
      <c r="C21" s="67" t="s">
        <v>119</v>
      </c>
      <c r="D21" s="53"/>
      <c r="E21" s="53"/>
      <c r="F21" s="53"/>
      <c r="G21" s="53"/>
      <c r="H21" s="53"/>
      <c r="I21" s="53"/>
      <c r="J21" s="50"/>
      <c r="K21" s="105"/>
      <c r="L21" s="106"/>
      <c r="M21" s="104"/>
      <c r="N21" s="104"/>
    </row>
    <row r="22" spans="8:8" ht="19.5" customHeight="1">
      <c r="A22" s="37"/>
      <c r="B22" s="47"/>
      <c r="C22" s="67" t="s">
        <v>120</v>
      </c>
      <c r="D22" s="53"/>
      <c r="E22" s="53"/>
      <c r="F22" s="53"/>
      <c r="G22" s="53"/>
      <c r="H22" s="53"/>
      <c r="I22" s="53"/>
      <c r="J22" s="50"/>
      <c r="K22" s="105"/>
      <c r="L22" s="106"/>
      <c r="M22" s="104"/>
      <c r="N22" s="104"/>
    </row>
    <row r="23" spans="8:8" ht="19.5" customHeight="1">
      <c r="A23" s="37"/>
      <c r="B23" s="38"/>
      <c r="C23" s="67" t="s">
        <v>121</v>
      </c>
      <c r="D23" s="53"/>
      <c r="E23" s="53"/>
      <c r="F23" s="53"/>
      <c r="G23" s="53"/>
      <c r="H23" s="53"/>
      <c r="I23" s="53"/>
      <c r="J23" s="50"/>
      <c r="K23" s="105"/>
      <c r="L23" s="106"/>
      <c r="M23" s="104"/>
      <c r="N23" s="104"/>
    </row>
    <row r="24" spans="8:8" ht="18.0" customHeight="1">
      <c r="A24" s="37"/>
      <c r="B24" s="38"/>
      <c r="C24" s="67" t="s">
        <v>122</v>
      </c>
      <c r="D24" s="53"/>
      <c r="E24" s="53"/>
      <c r="F24" s="53"/>
      <c r="G24" s="53"/>
      <c r="H24" s="53"/>
      <c r="I24" s="53"/>
      <c r="J24" s="50"/>
      <c r="K24" s="107"/>
      <c r="L24" s="108"/>
      <c r="M24" s="104"/>
      <c r="N24" s="104"/>
    </row>
    <row r="25" spans="8:8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</row>
    <row r="26" spans="8:8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</row>
    <row r="27" spans="8:8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</row>
  </sheetData>
  <mergeCells count="50">
    <mergeCell ref="K20:L20"/>
    <mergeCell ref="C13:E13"/>
    <mergeCell ref="K11:L11"/>
    <mergeCell ref="C24:J24"/>
    <mergeCell ref="C18:J18"/>
    <mergeCell ref="K7:L7"/>
    <mergeCell ref="C5:E5"/>
    <mergeCell ref="G6:J6"/>
    <mergeCell ref="C22:J22"/>
    <mergeCell ref="K13:L13"/>
    <mergeCell ref="G12:J12"/>
    <mergeCell ref="K21:L21"/>
    <mergeCell ref="G13:J13"/>
    <mergeCell ref="C17:J17"/>
    <mergeCell ref="K8:L8"/>
    <mergeCell ref="G14:J14"/>
    <mergeCell ref="C11:E11"/>
    <mergeCell ref="C19:J19"/>
    <mergeCell ref="K15:L15"/>
    <mergeCell ref="K18:L18"/>
    <mergeCell ref="C12:E12"/>
    <mergeCell ref="K16:L16"/>
    <mergeCell ref="G15:J15"/>
    <mergeCell ref="K14:L14"/>
    <mergeCell ref="K12:L12"/>
    <mergeCell ref="K17:L17"/>
    <mergeCell ref="G16:J16"/>
    <mergeCell ref="K6:L6"/>
    <mergeCell ref="C16:E16"/>
    <mergeCell ref="G7:J7"/>
    <mergeCell ref="C10:E10"/>
    <mergeCell ref="C15:E15"/>
    <mergeCell ref="K10:L10"/>
    <mergeCell ref="K22:L22"/>
    <mergeCell ref="C14:E14"/>
    <mergeCell ref="G11:J11"/>
    <mergeCell ref="C23:J23"/>
    <mergeCell ref="C7:E7"/>
    <mergeCell ref="G10:J10"/>
    <mergeCell ref="C9:E9"/>
    <mergeCell ref="K9:L9"/>
    <mergeCell ref="K24:L24"/>
    <mergeCell ref="K23:L23"/>
    <mergeCell ref="K5:L5"/>
    <mergeCell ref="C20:J20"/>
    <mergeCell ref="C6:E6"/>
    <mergeCell ref="G5:J5"/>
    <mergeCell ref="C8:E8"/>
    <mergeCell ref="K19:L19"/>
    <mergeCell ref="C21:J21"/>
  </mergeCells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L42"/>
  <sheetViews>
    <sheetView tabSelected="1" workbookViewId="0" topLeftCell="A5">
      <selection activeCell="B18" sqref="B18"/>
    </sheetView>
  </sheetViews>
  <sheetFormatPr defaultRowHeight="14.25" defaultColWidth="10"/>
  <cols>
    <col min="1" max="1" customWidth="1" width="4.0" style="110"/>
    <col min="2" max="2" customWidth="1" width="12.5" style="110"/>
    <col min="3" max="3" customWidth="1" width="7.625" style="110"/>
    <col min="4" max="4" customWidth="1" width="7.5" style="110"/>
    <col min="5" max="5" customWidth="1" width="6.0" style="110"/>
    <col min="6" max="6" customWidth="1" width="5.625" style="110"/>
    <col min="7" max="7" customWidth="1" width="5.125" style="110"/>
    <col min="8" max="8" customWidth="1" width="4.0" style="110"/>
    <col min="9" max="9" customWidth="1" width="4.875" style="110"/>
    <col min="10" max="10" customWidth="1" width="5.75" style="110"/>
    <col min="11" max="11" customWidth="1" width="7.0" style="110"/>
    <col min="12" max="12" customWidth="1" width="5.625" style="110"/>
    <col min="13" max="13" customWidth="1" width="7.5" style="110"/>
    <col min="14" max="14" customWidth="1" width="4.75" style="110"/>
    <col min="15" max="17" customWidth="1" width="5.5" style="110"/>
    <col min="18" max="18" customWidth="1" width="5.0" style="110"/>
    <col min="19" max="19" customWidth="1" width="5.375" style="110"/>
    <col min="20" max="20" customWidth="1" width="5.25" style="110"/>
    <col min="21" max="21" customWidth="1" width="4.25" style="110"/>
    <col min="22" max="22" customWidth="1" width="7.125" style="110"/>
    <col min="23" max="23" customWidth="1" width="8.0" style="110"/>
    <col min="24" max="28" customWidth="1" width="10.0" style="110"/>
    <col min="29" max="29" customWidth="1" bestFit="1" width="10.0" style="110"/>
    <col min="30" max="16384" customWidth="0" width="10.0" style="110"/>
  </cols>
  <sheetData>
    <row r="1" spans="8:8" ht="21.0">
      <c r="A1" s="111" t="s">
        <v>31</v>
      </c>
      <c r="B1" s="112"/>
      <c r="C1" s="112"/>
      <c r="D1" s="113" t="str">
        <f>'Master Sheet'!C2</f>
        <v>GOVT.PRAVESHIKA SANSKRIT SCHOOL ,GUARA THALI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4"/>
      <c r="X1" s="115"/>
      <c r="Y1" s="115"/>
      <c r="Z1" s="115"/>
      <c r="AA1" s="116"/>
      <c r="AB1" s="115"/>
      <c r="AC1" s="115"/>
      <c r="AD1" s="115"/>
      <c r="AE1" s="117"/>
      <c r="AF1" s="117"/>
      <c r="AG1" s="117"/>
      <c r="AH1" s="115"/>
      <c r="AI1" s="115"/>
    </row>
    <row r="2" spans="8:8" ht="18.75">
      <c r="A2" s="118" t="s">
        <v>144</v>
      </c>
      <c r="B2" s="119"/>
      <c r="C2" s="119"/>
      <c r="D2" s="120" t="str">
        <f>'Master Sheet'!C3</f>
        <v>mahendra kumar</v>
      </c>
      <c r="E2" s="120"/>
      <c r="F2" s="120"/>
      <c r="G2" s="120"/>
      <c r="H2" s="120"/>
      <c r="I2" s="121" t="s">
        <v>38</v>
      </c>
      <c r="J2" s="121"/>
      <c r="K2" s="122" t="str">
        <f>'Master Sheet'!C4</f>
        <v>RJXX123456789123</v>
      </c>
      <c r="L2" s="122"/>
      <c r="M2" s="122"/>
      <c r="N2" s="122"/>
      <c r="O2" s="123" t="s">
        <v>145</v>
      </c>
      <c r="P2" s="123"/>
      <c r="Q2" s="123"/>
      <c r="R2" s="123"/>
      <c r="S2" s="122" t="str">
        <f>'Master Sheet'!E7</f>
        <v>GUPSS TOLUPURA</v>
      </c>
      <c r="T2" s="122"/>
      <c r="U2" s="122"/>
      <c r="V2" s="122"/>
      <c r="W2" s="124"/>
      <c r="X2" s="117"/>
      <c r="Y2" s="117"/>
      <c r="Z2" s="117"/>
      <c r="AA2" s="125"/>
      <c r="AB2" s="117"/>
      <c r="AC2" s="117"/>
      <c r="AD2" s="117"/>
      <c r="AE2" s="117"/>
      <c r="AF2" s="117"/>
      <c r="AG2" s="117"/>
      <c r="AH2" s="117"/>
      <c r="AI2" s="117"/>
    </row>
    <row r="3" spans="8:8" ht="31.5">
      <c r="A3" s="126" t="s">
        <v>146</v>
      </c>
      <c r="B3" s="127"/>
      <c r="C3" s="128" t="str">
        <f>'Master Sheet'!C5</f>
        <v>AAAAA1234A</v>
      </c>
      <c r="D3" s="128"/>
      <c r="E3" s="128"/>
      <c r="F3" s="129" t="s">
        <v>147</v>
      </c>
      <c r="G3" s="128">
        <f>'Master Sheet'!C7</f>
        <v>123456.0</v>
      </c>
      <c r="H3" s="128"/>
      <c r="I3" s="130" t="s">
        <v>39</v>
      </c>
      <c r="J3" s="131">
        <f>'Master Sheet'!C6</f>
        <v>123456.0</v>
      </c>
      <c r="K3" s="131"/>
      <c r="L3" s="131"/>
      <c r="M3" s="132" t="s">
        <v>30</v>
      </c>
      <c r="N3" s="132"/>
      <c r="O3" s="132"/>
      <c r="P3" s="131">
        <f>'Master Sheet'!E4</f>
        <v>1.2345678912E10</v>
      </c>
      <c r="Q3" s="131"/>
      <c r="R3" s="131"/>
      <c r="S3" s="131"/>
      <c r="T3" s="132"/>
      <c r="U3" s="132"/>
      <c r="V3" s="132"/>
      <c r="W3" s="133"/>
      <c r="X3" s="117"/>
      <c r="Y3" s="117"/>
      <c r="Z3" s="117"/>
      <c r="AA3" s="125"/>
      <c r="AB3" s="117"/>
      <c r="AC3" s="117"/>
      <c r="AD3" s="117"/>
      <c r="AE3" s="117"/>
      <c r="AF3" s="117"/>
      <c r="AG3" s="117"/>
      <c r="AH3" s="117"/>
      <c r="AI3" s="117"/>
    </row>
    <row r="4" spans="8:8" ht="18.75">
      <c r="A4" s="134" t="s">
        <v>148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6" t="s">
        <v>149</v>
      </c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7" t="s">
        <v>150</v>
      </c>
      <c r="X4" s="115"/>
      <c r="Y4" s="115"/>
      <c r="Z4" s="115"/>
      <c r="AA4" s="116"/>
      <c r="AB4" s="115"/>
      <c r="AC4" s="115"/>
      <c r="AD4" s="115"/>
      <c r="AE4" s="117"/>
      <c r="AF4" s="117"/>
      <c r="AG4" s="117"/>
      <c r="AH4" s="115"/>
      <c r="AI4" s="115"/>
    </row>
    <row r="5" spans="8:8" ht="60.0">
      <c r="A5" s="138" t="s">
        <v>151</v>
      </c>
      <c r="B5" s="139" t="s">
        <v>152</v>
      </c>
      <c r="C5" s="139" t="s">
        <v>153</v>
      </c>
      <c r="D5" s="139" t="s">
        <v>154</v>
      </c>
      <c r="E5" s="139" t="s">
        <v>155</v>
      </c>
      <c r="F5" s="139" t="s">
        <v>156</v>
      </c>
      <c r="G5" s="139" t="s">
        <v>157</v>
      </c>
      <c r="H5" s="139" t="s">
        <v>158</v>
      </c>
      <c r="I5" s="139" t="s">
        <v>159</v>
      </c>
      <c r="J5" s="139" t="s">
        <v>160</v>
      </c>
      <c r="K5" s="139" t="s">
        <v>161</v>
      </c>
      <c r="L5" s="139" t="s">
        <v>162</v>
      </c>
      <c r="M5" s="139" t="s">
        <v>163</v>
      </c>
      <c r="N5" s="139" t="s">
        <v>73</v>
      </c>
      <c r="O5" s="139" t="s">
        <v>164</v>
      </c>
      <c r="P5" s="139" t="s">
        <v>165</v>
      </c>
      <c r="Q5" s="139" t="s">
        <v>166</v>
      </c>
      <c r="R5" s="139" t="s">
        <v>167</v>
      </c>
      <c r="S5" s="139" t="s">
        <v>168</v>
      </c>
      <c r="T5" s="139" t="s">
        <v>169</v>
      </c>
      <c r="U5" s="139" t="s">
        <v>170</v>
      </c>
      <c r="V5" s="139" t="s">
        <v>171</v>
      </c>
      <c r="W5" s="140"/>
      <c r="X5" s="117"/>
      <c r="Y5" s="117"/>
      <c r="Z5" s="117"/>
      <c r="AA5" s="117"/>
      <c r="AB5" s="117"/>
      <c r="AC5" s="117"/>
      <c r="AD5" s="117"/>
      <c r="AE5" s="117"/>
      <c r="AF5" s="117"/>
    </row>
    <row r="6" spans="8:8" ht="15.2">
      <c r="A6" s="141">
        <v>1.0</v>
      </c>
      <c r="B6" s="142">
        <v>45717.0</v>
      </c>
      <c r="C6" s="143">
        <f>IF('Master Sheet'!$E$11="RegularPay",'Master Sheet'!C8,'Master Sheet'!C8)</f>
        <v>50800.0</v>
      </c>
      <c r="D6" s="143">
        <f>IF('Master Sheet'!$E$11="Regular Pay",C6*53/100," ")</f>
        <v>26924.0</v>
      </c>
      <c r="E6" s="143">
        <f>IF('Master Sheet'!$E$11="Regular Pay",C6*'Master Sheet'!$C$12,"")</f>
        <v>5080.0</v>
      </c>
      <c r="F6" s="144">
        <v>0.0</v>
      </c>
      <c r="G6" s="144">
        <v>0.0</v>
      </c>
      <c r="H6" s="145"/>
      <c r="I6" s="145"/>
      <c r="J6" s="144">
        <v>0.0</v>
      </c>
      <c r="K6" s="143">
        <f t="shared" si="0" ref="K6:K27">C6+D6+E6+F6+G6+H6+I6-J6</f>
        <v>82804.0</v>
      </c>
      <c r="L6" s="143">
        <f>IF('Master Sheet'!$E$11="Regular Pay",'Master Sheet'!$E$12,"0")</f>
        <v>5000.0</v>
      </c>
      <c r="M6" s="143" t="str">
        <f>IF('Master Sheet'!$C$8&lt;=23100,"1450",IF('Master Sheet'!$C$8&lt;=28500,"1625",IF('Master Sheet'!$C$8&lt;=38500,"2100",IF('Master Sheet'!$C$8&lt;=51500,"2850",IF('Master Sheet'!$C$8&lt;=62000,"3575",IF('Master Sheet'!$C$8&lt;=72000,"4200",IF('Master Sheet'!$C$8&lt;=80000,"4800",IF('Master Sheet'!$C$8&lt;=116000,"6150",IF('Master Sheet'!$C$8&lt;=167000,"8900",IF('Master Sheet'!$C$8&gt;167000,"10500"))))))))))</f>
        <v>2850</v>
      </c>
      <c r="N6" s="143">
        <f>'Master Sheet'!$E$9</f>
        <v>0.0</v>
      </c>
      <c r="O6" s="143" t="str">
        <f>IF('Master Sheet'!$C$8&lt;=18000,"265",IF('Master Sheet'!$C$8&lt;=33500,"440",IF('Master Sheet'!$C$8&lt;=54000,"658",IF('Master Sheet'!$C$8&gt;54000,"875"))))</f>
        <v>658</v>
      </c>
      <c r="P6" s="143">
        <f>IF('Master Sheet'!$E$11="Regular Pay",'Master Sheet'!$E$10,"0")</f>
        <v>0.0</v>
      </c>
      <c r="Q6" s="143">
        <f>IF('Master Sheet'!$E$11="Regular Pay",'Master Sheet'!$C$11,"0")</f>
        <v>0.0</v>
      </c>
      <c r="R6" s="144">
        <v>0.0</v>
      </c>
      <c r="S6" s="145"/>
      <c r="T6" s="143">
        <f>'Master Sheet'!$C$13</f>
        <v>0.0</v>
      </c>
      <c r="U6" s="145"/>
      <c r="V6" s="143">
        <f>L6+M6+N6+O6+P6+Q6+R6+S6+T6+U6</f>
        <v>8508.0</v>
      </c>
      <c r="W6" s="146">
        <f t="shared" si="1" ref="W6:W26">K6-V6</f>
        <v>74296.0</v>
      </c>
      <c r="X6" s="115"/>
      <c r="Y6" s="115"/>
      <c r="Z6" s="115"/>
      <c r="AA6" s="116"/>
      <c r="AB6" s="115"/>
      <c r="AC6" s="115"/>
      <c r="AD6" s="115"/>
      <c r="AE6" s="125"/>
      <c r="AF6" s="125"/>
      <c r="AG6" s="125"/>
      <c r="AH6" s="115"/>
      <c r="AI6" s="115"/>
    </row>
    <row r="7" spans="8:8" ht="15.2">
      <c r="A7" s="141">
        <v>2.0</v>
      </c>
      <c r="B7" s="142">
        <v>45748.0</v>
      </c>
      <c r="C7" s="143">
        <f>C6</f>
        <v>50800.0</v>
      </c>
      <c r="D7" s="143">
        <f>IF('Master Sheet'!$E$11="Regular Pay",C7*55/100," ")</f>
        <v>27940.0</v>
      </c>
      <c r="E7" s="143">
        <f>IF('Master Sheet'!$E$11="Regular Pay",C7*'Master Sheet'!$C$12,"")</f>
        <v>5080.0</v>
      </c>
      <c r="F7" s="144">
        <v>0.0</v>
      </c>
      <c r="G7" s="144">
        <v>0.0</v>
      </c>
      <c r="H7" s="145"/>
      <c r="I7" s="145"/>
      <c r="J7" s="144">
        <v>0.0</v>
      </c>
      <c r="K7" s="143">
        <f t="shared" si="0"/>
        <v>83820.0</v>
      </c>
      <c r="L7" s="143">
        <f>IF('Master Sheet'!$E$11="Regular Pay",'Master Sheet'!$E$12,"0")</f>
        <v>5000.0</v>
      </c>
      <c r="M7" s="143" t="str">
        <f>IF('Master Sheet'!$C$8&lt;=23100,"1450",IF('Master Sheet'!$C$8&lt;=28500,"1625",IF('Master Sheet'!$C$8&lt;=38500,"2100",IF('Master Sheet'!$C$8&lt;=51500,"2850",IF('Master Sheet'!$C$8&lt;=62000,"3575",IF('Master Sheet'!$C$8&lt;=72000,"4200",IF('Master Sheet'!$C$8&lt;=80000,"4800",IF('Master Sheet'!$C$8&lt;=116000,"6150",IF('Master Sheet'!$C$8&lt;=167000,"8900",IF('Master Sheet'!$C$8&gt;167000,"10500"))))))))))</f>
        <v>2850</v>
      </c>
      <c r="N7" s="143">
        <f>'Master Sheet'!$E$9</f>
        <v>0.0</v>
      </c>
      <c r="O7" s="143" t="str">
        <f>IF('Master Sheet'!$C$8&lt;=18000,"265",IF('Master Sheet'!$C$8&lt;=33500,"440",IF('Master Sheet'!$C$8&lt;=54000,"658",IF('Master Sheet'!$C$8&gt;54000,"875"))))</f>
        <v>658</v>
      </c>
      <c r="P7" s="143">
        <f>IF('Master Sheet'!$E$11="Regular Pay",'Master Sheet'!$E$10,"0")</f>
        <v>0.0</v>
      </c>
      <c r="Q7" s="143">
        <f>IF('Master Sheet'!$E$11="Regular Pay",'Master Sheet'!$C$11,"0")</f>
        <v>0.0</v>
      </c>
      <c r="R7" s="144">
        <v>0.0</v>
      </c>
      <c r="S7" s="145"/>
      <c r="T7" s="143">
        <f>'Master Sheet'!$C$13</f>
        <v>0.0</v>
      </c>
      <c r="U7" s="143">
        <f>'Master Sheet'!E8</f>
        <v>2100.0</v>
      </c>
      <c r="V7" s="143">
        <f>L7+M7+N7+O7+P7+Q7+R7+S7+T7+U7</f>
        <v>10608.0</v>
      </c>
      <c r="W7" s="146">
        <f t="shared" si="1"/>
        <v>73212.0</v>
      </c>
      <c r="X7" s="115"/>
      <c r="Y7" s="115"/>
      <c r="Z7" s="115"/>
      <c r="AA7" s="116"/>
      <c r="AB7" s="115"/>
      <c r="AC7" s="115"/>
      <c r="AD7" s="115"/>
      <c r="AE7" s="125"/>
      <c r="AF7" s="125"/>
      <c r="AG7" s="125"/>
      <c r="AH7" s="115"/>
      <c r="AI7" s="115"/>
    </row>
    <row r="8" spans="8:8" ht="15.2">
      <c r="A8" s="141">
        <v>3.0</v>
      </c>
      <c r="B8" s="142">
        <v>45778.0</v>
      </c>
      <c r="C8" s="143">
        <f>C7</f>
        <v>50800.0</v>
      </c>
      <c r="D8" s="143">
        <f>IF('Master Sheet'!$E$11="Regular Pay",C8*55/100," ")</f>
        <v>27940.0</v>
      </c>
      <c r="E8" s="143">
        <f>IF('Master Sheet'!$E$11="Regular Pay",C8*'Master Sheet'!$C$12,"")</f>
        <v>5080.0</v>
      </c>
      <c r="F8" s="144">
        <v>0.0</v>
      </c>
      <c r="G8" s="144">
        <v>0.0</v>
      </c>
      <c r="H8" s="145"/>
      <c r="I8" s="145"/>
      <c r="J8" s="144">
        <v>0.0</v>
      </c>
      <c r="K8" s="143">
        <f t="shared" si="0"/>
        <v>83820.0</v>
      </c>
      <c r="L8" s="143">
        <f>IF('Master Sheet'!$E$11="Regular Pay",'Master Sheet'!$E$12,"0")</f>
        <v>5000.0</v>
      </c>
      <c r="M8" s="143" t="str">
        <f>IF('Master Sheet'!$C$8&lt;=23100,"1450",IF('Master Sheet'!$C$8&lt;=28500,"1625",IF('Master Sheet'!$C$8&lt;=38500,"2100",IF('Master Sheet'!$C$8&lt;=51500,"2850",IF('Master Sheet'!$C$8&lt;=62000,"3575",IF('Master Sheet'!$C$8&lt;=72000,"4200",IF('Master Sheet'!$C$8&lt;=80000,"4800",IF('Master Sheet'!$C$8&lt;=116000,"6150",IF('Master Sheet'!$C$8&lt;=167000,"8900",IF('Master Sheet'!$C$8&gt;167000,"10500"))))))))))</f>
        <v>2850</v>
      </c>
      <c r="N8" s="143">
        <f>'Master Sheet'!$E$9</f>
        <v>0.0</v>
      </c>
      <c r="O8" s="143" t="str">
        <f>IF('Master Sheet'!$C$8&lt;=18000,"265",IF('Master Sheet'!$C$8&lt;=33500,"440",IF('Master Sheet'!$C$8&lt;=54000,"658",IF('Master Sheet'!$C$8&gt;54000,"875"))))</f>
        <v>658</v>
      </c>
      <c r="P8" s="143">
        <f>IF('Master Sheet'!$E$11="Regular Pay",'Master Sheet'!$E$10,"0")</f>
        <v>0.0</v>
      </c>
      <c r="Q8" s="143">
        <f>IF('Master Sheet'!$E$11="Regular Pay",'Master Sheet'!$C$11,"0")</f>
        <v>0.0</v>
      </c>
      <c r="R8" s="144"/>
      <c r="S8" s="145"/>
      <c r="T8" s="143">
        <f>'Master Sheet'!$C$13</f>
        <v>0.0</v>
      </c>
      <c r="U8" s="145"/>
      <c r="V8" s="143">
        <f t="shared" si="2" ref="V8:V27">L8+M8+N8+O8+P8+Q8+R8+S8+T8+U8</f>
        <v>8508.0</v>
      </c>
      <c r="W8" s="146">
        <f t="shared" si="1"/>
        <v>75312.0</v>
      </c>
      <c r="X8" s="115"/>
      <c r="Y8" s="115"/>
      <c r="Z8" s="115"/>
      <c r="AA8" s="116"/>
      <c r="AB8" s="115"/>
      <c r="AC8" s="115"/>
      <c r="AD8" s="115"/>
      <c r="AE8" s="115"/>
      <c r="AF8" s="115"/>
      <c r="AG8" s="115"/>
      <c r="AH8" s="115"/>
      <c r="AI8" s="115"/>
    </row>
    <row r="9" spans="8:8" ht="15.2">
      <c r="A9" s="141">
        <v>4.0</v>
      </c>
      <c r="B9" s="142">
        <v>45809.0</v>
      </c>
      <c r="C9" s="143">
        <f>C8</f>
        <v>50800.0</v>
      </c>
      <c r="D9" s="143">
        <f>IF('Master Sheet'!$E$11="Regular Pay",C9*55/100," ")</f>
        <v>27940.0</v>
      </c>
      <c r="E9" s="143">
        <f>IF('Master Sheet'!$E$11="Regular Pay",C9*'Master Sheet'!$C$12,"")</f>
        <v>5080.0</v>
      </c>
      <c r="F9" s="144">
        <v>0.0</v>
      </c>
      <c r="G9" s="144">
        <v>0.0</v>
      </c>
      <c r="H9" s="145"/>
      <c r="I9" s="145"/>
      <c r="J9" s="144">
        <v>0.0</v>
      </c>
      <c r="K9" s="143">
        <f t="shared" si="0"/>
        <v>83820.0</v>
      </c>
      <c r="L9" s="143">
        <f>IF('Master Sheet'!$E$11="Regular Pay",'Master Sheet'!$E$12,"0")</f>
        <v>5000.0</v>
      </c>
      <c r="M9" s="143" t="str">
        <f>IF('Master Sheet'!$C$8&lt;=23100,"1450",IF('Master Sheet'!$C$8&lt;=28500,"1625",IF('Master Sheet'!$C$8&lt;=38500,"2100",IF('Master Sheet'!$C$8&lt;=51500,"2850",IF('Master Sheet'!$C$8&lt;=62000,"3575",IF('Master Sheet'!$C$8&lt;=72000,"4200",IF('Master Sheet'!$C$8&lt;=80000,"4800",IF('Master Sheet'!$C$8&lt;=116000,"6150",IF('Master Sheet'!$C$8&lt;=167000,"8900",IF('Master Sheet'!$C$8&gt;167000,"10500"))))))))))</f>
        <v>2850</v>
      </c>
      <c r="N9" s="143">
        <f>'Master Sheet'!$E$9</f>
        <v>0.0</v>
      </c>
      <c r="O9" s="143" t="str">
        <f>IF('Master Sheet'!$C$8&lt;=18000,"265",IF('Master Sheet'!$C$8&lt;=33500,"440",IF('Master Sheet'!$C$8&lt;=54000,"658",IF('Master Sheet'!$C$8&gt;54000,"875"))))</f>
        <v>658</v>
      </c>
      <c r="P9" s="143">
        <f>IF('Master Sheet'!$E$11="Regular Pay",'Master Sheet'!$E$10,"0")</f>
        <v>0.0</v>
      </c>
      <c r="Q9" s="143">
        <f>IF('Master Sheet'!$E$11="Regular Pay",'Master Sheet'!$C$11,"0")</f>
        <v>0.0</v>
      </c>
      <c r="R9" s="144">
        <v>0.0</v>
      </c>
      <c r="S9" s="145"/>
      <c r="T9" s="143">
        <f>'Master Sheet'!$C$13</f>
        <v>0.0</v>
      </c>
      <c r="U9" s="145"/>
      <c r="V9" s="143">
        <f t="shared" si="2"/>
        <v>8508.0</v>
      </c>
      <c r="W9" s="146">
        <f t="shared" si="1"/>
        <v>75312.0</v>
      </c>
      <c r="X9" s="115"/>
      <c r="Y9" s="115"/>
      <c r="Z9" s="115"/>
      <c r="AA9" s="116"/>
      <c r="AB9" s="115"/>
      <c r="AC9" s="115"/>
      <c r="AD9" s="115"/>
      <c r="AE9" s="115"/>
      <c r="AF9" s="115"/>
      <c r="AG9" s="115"/>
      <c r="AH9" s="115"/>
      <c r="AI9" s="115"/>
    </row>
    <row r="10" spans="8:8" ht="15.2">
      <c r="A10" s="141">
        <v>5.0</v>
      </c>
      <c r="B10" s="142">
        <v>45839.0</v>
      </c>
      <c r="C10" s="143">
        <f>ROUND(C9*3%+C9,-2)</f>
        <v>52300.0</v>
      </c>
      <c r="D10" s="143">
        <f>IF('Master Sheet'!$E$11="Regular Pay",C10*55/100," ")</f>
        <v>28765.0</v>
      </c>
      <c r="E10" s="143">
        <f>IF('Master Sheet'!$E$11="Regular Pay",C10*'Master Sheet'!$C$12,"")</f>
        <v>5230.0</v>
      </c>
      <c r="F10" s="144">
        <v>0.0</v>
      </c>
      <c r="G10" s="144">
        <v>0.0</v>
      </c>
      <c r="H10" s="145"/>
      <c r="I10" s="145"/>
      <c r="J10" s="144">
        <v>0.0</v>
      </c>
      <c r="K10" s="143">
        <f t="shared" si="0"/>
        <v>86295.0</v>
      </c>
      <c r="L10" s="143">
        <f>IF('Master Sheet'!$E$11="Regular Pay",'Master Sheet'!$E$12,"0")</f>
        <v>5000.0</v>
      </c>
      <c r="M10" s="143" t="str">
        <f>IF($C$10&lt;=23100,"1450",IF($C$10&lt;=28500,"1625",IF($C$10&lt;=38500,"2100",IF($C$10&lt;=51500,"2850",IF($C$10&lt;=62000,"3575",IF($C$10&lt;=72000,"4200",IF($C$10&lt;=80000,"4800",IF($C$10&lt;=116000,"6150",IF($C$10&lt;=167000,"8900",IF($C$10&gt;167000,"10500"))))))))))</f>
        <v>3575</v>
      </c>
      <c r="N10" s="143">
        <f>'Master Sheet'!$E$9</f>
        <v>0.0</v>
      </c>
      <c r="O10" s="143" t="str">
        <f>IF($C$10&lt;=18000,"265",IF($C$10&lt;=33500,"440",IF($C$10&lt;=54000,"658",IF($C$10&gt;54000,"875"))))</f>
        <v>658</v>
      </c>
      <c r="P10" s="143">
        <f>IF('Master Sheet'!$E$11="Regular Pay",'Master Sheet'!$E$10,"0")</f>
        <v>0.0</v>
      </c>
      <c r="Q10" s="143">
        <f>IF('Master Sheet'!$E$11="Regular Pay",'Master Sheet'!$C$11,"0")</f>
        <v>0.0</v>
      </c>
      <c r="R10" s="144">
        <v>0.0</v>
      </c>
      <c r="S10" s="145"/>
      <c r="T10" s="143">
        <f>'Master Sheet'!$C$13</f>
        <v>0.0</v>
      </c>
      <c r="U10" s="145"/>
      <c r="V10" s="143">
        <f t="shared" si="2"/>
        <v>9233.0</v>
      </c>
      <c r="W10" s="146">
        <f t="shared" si="1"/>
        <v>77062.0</v>
      </c>
      <c r="X10" s="115"/>
      <c r="Y10" s="115"/>
      <c r="Z10" s="115"/>
      <c r="AA10" s="116"/>
      <c r="AB10" s="115"/>
      <c r="AC10" s="115"/>
      <c r="AD10" s="115"/>
      <c r="AE10" s="115"/>
      <c r="AF10" s="115"/>
      <c r="AG10" s="115"/>
      <c r="AH10" s="115"/>
      <c r="AI10" s="115"/>
    </row>
    <row r="11" spans="8:8" ht="15.2">
      <c r="A11" s="141">
        <v>6.0</v>
      </c>
      <c r="B11" s="142">
        <v>45870.0</v>
      </c>
      <c r="C11" s="143">
        <f t="shared" si="3" ref="C11:C17">C10</f>
        <v>52300.0</v>
      </c>
      <c r="D11" s="143">
        <f>IF('Master Sheet'!$E$11="Regular Pay",C11*55/100," ")</f>
        <v>28765.0</v>
      </c>
      <c r="E11" s="143">
        <f>IF('Master Sheet'!$E$11="Regular Pay",C11*'Master Sheet'!$C$12,"")</f>
        <v>5230.0</v>
      </c>
      <c r="F11" s="144">
        <v>0.0</v>
      </c>
      <c r="G11" s="144">
        <v>0.0</v>
      </c>
      <c r="H11" s="145"/>
      <c r="I11" s="145"/>
      <c r="J11" s="144">
        <v>0.0</v>
      </c>
      <c r="K11" s="143">
        <f t="shared" si="0"/>
        <v>86295.0</v>
      </c>
      <c r="L11" s="143">
        <f>IF('Master Sheet'!$E$11="Regular Pay",'Master Sheet'!$E$12,"0")</f>
        <v>5000.0</v>
      </c>
      <c r="M11" s="143" t="str">
        <f t="shared" si="4" ref="M11:M17">IF($C$10&lt;=23100,"1450",IF($C$10&lt;=28500,"1625",IF($C$10&lt;=38500,"2100",IF($C$10&lt;=51500,"2850",IF($C$10&lt;=62000,"3575",IF($C$10&lt;=72000,"4200",IF($C$10&lt;=80000,"4800",IF($C$10&lt;=116000,"6150",IF($C$10&lt;=167000,"8900",IF($C$10&gt;167000,"10500"))))))))))</f>
        <v>3575</v>
      </c>
      <c r="N11" s="143">
        <f>'Master Sheet'!$E$9</f>
        <v>0.0</v>
      </c>
      <c r="O11" s="143" t="str">
        <f t="shared" si="5" ref="O11:O17">IF($C$10&lt;=18000,"265",IF($C$10&lt;=33500,"440",IF($C$10&lt;=54000,"658",IF($C$10&gt;54000,"875"))))</f>
        <v>658</v>
      </c>
      <c r="P11" s="143">
        <f>IF('Master Sheet'!$E$11="Regular Pay",'Master Sheet'!$E$10,"0")</f>
        <v>0.0</v>
      </c>
      <c r="Q11" s="143">
        <f>IF('Master Sheet'!$E$11="Regular Pay",'Master Sheet'!$C$11,"0")</f>
        <v>0.0</v>
      </c>
      <c r="R11" s="144">
        <v>0.0</v>
      </c>
      <c r="S11" s="145"/>
      <c r="T11" s="143">
        <f>'Master Sheet'!$C$13</f>
        <v>0.0</v>
      </c>
      <c r="U11" s="145"/>
      <c r="V11" s="143">
        <f t="shared" si="2"/>
        <v>9233.0</v>
      </c>
      <c r="W11" s="146">
        <f t="shared" si="1"/>
        <v>77062.0</v>
      </c>
      <c r="X11" s="115"/>
      <c r="Y11" s="115"/>
      <c r="Z11" s="115"/>
      <c r="AA11" s="116"/>
      <c r="AB11" s="115"/>
      <c r="AC11" s="115"/>
      <c r="AD11" s="115"/>
      <c r="AE11" s="115"/>
      <c r="AF11" s="115"/>
      <c r="AG11" s="115"/>
      <c r="AH11" s="115"/>
      <c r="AI11" s="115"/>
    </row>
    <row r="12" spans="8:8" ht="15.2">
      <c r="A12" s="141">
        <v>7.0</v>
      </c>
      <c r="B12" s="142">
        <v>45901.0</v>
      </c>
      <c r="C12" s="143">
        <f t="shared" si="3"/>
        <v>52300.0</v>
      </c>
      <c r="D12" s="143">
        <f>IF('Master Sheet'!$E$11="Regular Pay",C12*55/100," ")</f>
        <v>28765.0</v>
      </c>
      <c r="E12" s="143">
        <f>IF('Master Sheet'!$E$11="Regular Pay",C12*'Master Sheet'!$C$12,"")</f>
        <v>5230.0</v>
      </c>
      <c r="F12" s="144">
        <v>0.0</v>
      </c>
      <c r="G12" s="144">
        <v>0.0</v>
      </c>
      <c r="H12" s="145"/>
      <c r="I12" s="145"/>
      <c r="J12" s="144">
        <v>0.0</v>
      </c>
      <c r="K12" s="143">
        <f t="shared" si="0"/>
        <v>86295.0</v>
      </c>
      <c r="L12" s="143">
        <f>IF('Master Sheet'!$E$11="Regular Pay",'Master Sheet'!$E$12,"0")</f>
        <v>5000.0</v>
      </c>
      <c r="M12" s="143" t="str">
        <f t="shared" si="4"/>
        <v>3575</v>
      </c>
      <c r="N12" s="143">
        <f>'Master Sheet'!$E$9</f>
        <v>0.0</v>
      </c>
      <c r="O12" s="143" t="str">
        <f t="shared" si="5"/>
        <v>658</v>
      </c>
      <c r="P12" s="143">
        <f>IF('Master Sheet'!$E$11="Regular Pay",'Master Sheet'!$E$10,"0")</f>
        <v>0.0</v>
      </c>
      <c r="Q12" s="143">
        <f>IF('Master Sheet'!$E$11="Regular Pay",'Master Sheet'!$C$11,"0")</f>
        <v>0.0</v>
      </c>
      <c r="R12" s="144">
        <v>0.0</v>
      </c>
      <c r="S12" s="145"/>
      <c r="T12" s="143">
        <f>'Master Sheet'!$C$13</f>
        <v>0.0</v>
      </c>
      <c r="U12" s="145"/>
      <c r="V12" s="143">
        <f t="shared" si="2"/>
        <v>9233.0</v>
      </c>
      <c r="W12" s="146">
        <f t="shared" si="1"/>
        <v>77062.0</v>
      </c>
      <c r="X12" s="115"/>
      <c r="Y12" s="115"/>
      <c r="Z12" s="115"/>
      <c r="AA12" s="116"/>
      <c r="AB12" s="115"/>
      <c r="AC12" s="115"/>
      <c r="AD12" s="115"/>
      <c r="AE12" s="115"/>
      <c r="AF12" s="115"/>
      <c r="AG12" s="115"/>
      <c r="AH12" s="115"/>
      <c r="AI12" s="115"/>
    </row>
    <row r="13" spans="8:8" ht="15.2">
      <c r="A13" s="141">
        <v>8.0</v>
      </c>
      <c r="B13" s="142">
        <v>45931.0</v>
      </c>
      <c r="C13" s="143">
        <f t="shared" si="3"/>
        <v>52300.0</v>
      </c>
      <c r="D13" s="143">
        <f>IF('Master Sheet'!$E$11="Regular Pay",C13*58/100," ")</f>
        <v>30334.0</v>
      </c>
      <c r="E13" s="143">
        <f>IF('Master Sheet'!$E$11="Regular Pay",C13*'Master Sheet'!$C$12,"")</f>
        <v>5230.0</v>
      </c>
      <c r="F13" s="144">
        <v>0.0</v>
      </c>
      <c r="G13" s="144">
        <v>0.0</v>
      </c>
      <c r="H13" s="145"/>
      <c r="I13" s="145"/>
      <c r="J13" s="144">
        <v>0.0</v>
      </c>
      <c r="K13" s="143">
        <f t="shared" si="0"/>
        <v>87864.0</v>
      </c>
      <c r="L13" s="143">
        <f>IF('Master Sheet'!$E$11="Regular Pay",'Master Sheet'!$E$12,"0")</f>
        <v>5000.0</v>
      </c>
      <c r="M13" s="143" t="str">
        <f t="shared" si="4"/>
        <v>3575</v>
      </c>
      <c r="N13" s="143">
        <f>'Master Sheet'!$E$9</f>
        <v>0.0</v>
      </c>
      <c r="O13" s="143" t="str">
        <f t="shared" si="5"/>
        <v>658</v>
      </c>
      <c r="P13" s="143">
        <f>IF('Master Sheet'!$E$11="Regular Pay",'Master Sheet'!$E$10,"0")</f>
        <v>0.0</v>
      </c>
      <c r="Q13" s="143">
        <f>IF('Master Sheet'!$E$11="Regular Pay",'Master Sheet'!$C$11,"0")</f>
        <v>0.0</v>
      </c>
      <c r="R13" s="144">
        <v>0.0</v>
      </c>
      <c r="S13" s="145"/>
      <c r="T13" s="143">
        <f>'Master Sheet'!$C$13</f>
        <v>0.0</v>
      </c>
      <c r="U13" s="145"/>
      <c r="V13" s="143">
        <f t="shared" si="2"/>
        <v>9233.0</v>
      </c>
      <c r="W13" s="146">
        <f t="shared" si="1"/>
        <v>78631.0</v>
      </c>
      <c r="X13" s="147"/>
      <c r="Y13" s="115"/>
      <c r="Z13" s="115"/>
      <c r="AA13" s="116"/>
      <c r="AB13" s="115"/>
      <c r="AC13" s="115"/>
      <c r="AD13" s="115"/>
      <c r="AE13" s="115"/>
      <c r="AF13" s="115"/>
      <c r="AG13" s="115"/>
      <c r="AH13" s="115"/>
      <c r="AI13" s="115"/>
    </row>
    <row r="14" spans="8:8" ht="15.2">
      <c r="A14" s="141">
        <v>9.0</v>
      </c>
      <c r="B14" s="142">
        <v>45962.0</v>
      </c>
      <c r="C14" s="143">
        <f t="shared" si="3"/>
        <v>52300.0</v>
      </c>
      <c r="D14" s="143">
        <f>IF('Master Sheet'!$E$11="Regular Pay",C14*58/100," ")</f>
        <v>30334.0</v>
      </c>
      <c r="E14" s="143">
        <f>IF('Master Sheet'!$E$11="Regular Pay",C14*'Master Sheet'!$C$12,"")</f>
        <v>5230.0</v>
      </c>
      <c r="F14" s="144">
        <v>0.0</v>
      </c>
      <c r="G14" s="144">
        <v>0.0</v>
      </c>
      <c r="H14" s="145"/>
      <c r="I14" s="145"/>
      <c r="J14" s="144">
        <v>0.0</v>
      </c>
      <c r="K14" s="143">
        <f t="shared" si="0"/>
        <v>87864.0</v>
      </c>
      <c r="L14" s="143">
        <f>IF('Master Sheet'!$E$11="Regular Pay",'Master Sheet'!$E$12,"0")</f>
        <v>5000.0</v>
      </c>
      <c r="M14" s="143" t="str">
        <f t="shared" si="4"/>
        <v>3575</v>
      </c>
      <c r="N14" s="143">
        <f>'Master Sheet'!$E$9</f>
        <v>0.0</v>
      </c>
      <c r="O14" s="143" t="str">
        <f t="shared" si="5"/>
        <v>658</v>
      </c>
      <c r="P14" s="143">
        <f>IF('Master Sheet'!$E$11="Regular Pay",'Master Sheet'!$E$10,"0")</f>
        <v>0.0</v>
      </c>
      <c r="Q14" s="143">
        <f>IF('Master Sheet'!$E$11="Regular Pay",'Master Sheet'!$C$11,"0")</f>
        <v>0.0</v>
      </c>
      <c r="R14" s="144">
        <v>0.0</v>
      </c>
      <c r="S14" s="145"/>
      <c r="T14" s="143">
        <f>'Master Sheet'!$C$13</f>
        <v>0.0</v>
      </c>
      <c r="U14" s="145"/>
      <c r="V14" s="143">
        <f t="shared" si="2"/>
        <v>9233.0</v>
      </c>
      <c r="W14" s="146">
        <f t="shared" si="1"/>
        <v>78631.0</v>
      </c>
      <c r="X14" s="115"/>
      <c r="Y14" s="115"/>
      <c r="Z14" s="115"/>
      <c r="AA14" s="116"/>
      <c r="AB14" s="115"/>
      <c r="AC14" s="115"/>
      <c r="AD14" s="115"/>
      <c r="AE14" s="115"/>
      <c r="AF14" s="115"/>
      <c r="AG14" s="115"/>
      <c r="AH14" s="115"/>
      <c r="AI14" s="115"/>
    </row>
    <row r="15" spans="8:8" ht="15.2">
      <c r="A15" s="141">
        <v>10.0</v>
      </c>
      <c r="B15" s="142">
        <v>45992.0</v>
      </c>
      <c r="C15" s="143">
        <f t="shared" si="3"/>
        <v>52300.0</v>
      </c>
      <c r="D15" s="143">
        <f>IF('Master Sheet'!$E$11="Regular Pay",C15*58/100," ")</f>
        <v>30334.0</v>
      </c>
      <c r="E15" s="143">
        <f>IF('Master Sheet'!$E$11="Regular Pay",C15*'Master Sheet'!$C$12,"")</f>
        <v>5230.0</v>
      </c>
      <c r="F15" s="144">
        <v>0.0</v>
      </c>
      <c r="G15" s="144">
        <v>0.0</v>
      </c>
      <c r="H15" s="145"/>
      <c r="I15" s="145"/>
      <c r="J15" s="144">
        <v>0.0</v>
      </c>
      <c r="K15" s="143">
        <f t="shared" si="0"/>
        <v>87864.0</v>
      </c>
      <c r="L15" s="143">
        <f>IF('Master Sheet'!$E$11="Regular Pay",'Master Sheet'!$E$12,"0")</f>
        <v>5000.0</v>
      </c>
      <c r="M15" s="143" t="str">
        <f t="shared" si="4"/>
        <v>3575</v>
      </c>
      <c r="N15" s="143">
        <f>'Master Sheet'!$E$9</f>
        <v>0.0</v>
      </c>
      <c r="O15" s="143" t="str">
        <f t="shared" si="5"/>
        <v>658</v>
      </c>
      <c r="P15" s="143">
        <f>IF('Master Sheet'!$E$11="Regular Pay",'Master Sheet'!$E$10,"0")</f>
        <v>0.0</v>
      </c>
      <c r="Q15" s="143">
        <f>IF('Master Sheet'!$E$11="Regular Pay",'Master Sheet'!$C$11,"0")</f>
        <v>0.0</v>
      </c>
      <c r="R15" s="144">
        <v>0.0</v>
      </c>
      <c r="S15" s="143" t="str">
        <f>IF('Master Sheet'!E5="NON GAZETTED",500,"250")</f>
        <v>250</v>
      </c>
      <c r="T15" s="143">
        <f>'Master Sheet'!$C$13</f>
        <v>0.0</v>
      </c>
      <c r="U15" s="145"/>
      <c r="V15" s="143">
        <f t="shared" si="2"/>
        <v>9483.0</v>
      </c>
      <c r="W15" s="146">
        <f t="shared" si="1"/>
        <v>78381.0</v>
      </c>
      <c r="X15" s="115"/>
      <c r="Y15" s="115"/>
      <c r="Z15" s="115"/>
      <c r="AA15" s="116"/>
      <c r="AB15" s="115"/>
      <c r="AC15" s="115"/>
      <c r="AD15" s="115"/>
      <c r="AE15" s="115"/>
      <c r="AF15" s="115"/>
      <c r="AG15" s="115"/>
      <c r="AH15" s="115"/>
      <c r="AI15" s="115"/>
    </row>
    <row r="16" spans="8:8" ht="15.2">
      <c r="A16" s="141">
        <v>11.0</v>
      </c>
      <c r="B16" s="142">
        <v>46023.0</v>
      </c>
      <c r="C16" s="143">
        <f t="shared" si="3"/>
        <v>52300.0</v>
      </c>
      <c r="D16" s="143">
        <f>IF('Master Sheet'!$E$11="Regular Pay",C16*58/100," ")</f>
        <v>30334.0</v>
      </c>
      <c r="E16" s="143">
        <f>IF('Master Sheet'!$E$11="Regular Pay",C16*'Master Sheet'!$C$12,"")</f>
        <v>5230.0</v>
      </c>
      <c r="F16" s="144">
        <v>0.0</v>
      </c>
      <c r="G16" s="144">
        <v>0.0</v>
      </c>
      <c r="H16" s="145"/>
      <c r="I16" s="145"/>
      <c r="J16" s="144">
        <v>0.0</v>
      </c>
      <c r="K16" s="143">
        <f t="shared" si="0"/>
        <v>87864.0</v>
      </c>
      <c r="L16" s="143">
        <f>IF('Master Sheet'!$E$11="Regular Pay",'Master Sheet'!$E$12,"0")</f>
        <v>5000.0</v>
      </c>
      <c r="M16" s="143" t="str">
        <f t="shared" si="4"/>
        <v>3575</v>
      </c>
      <c r="N16" s="143">
        <f>'Master Sheet'!$E$9</f>
        <v>0.0</v>
      </c>
      <c r="O16" s="143" t="str">
        <f t="shared" si="5"/>
        <v>658</v>
      </c>
      <c r="P16" s="143">
        <f>IF('Master Sheet'!$E$11="Regular Pay",'Master Sheet'!$E$10,"0")</f>
        <v>0.0</v>
      </c>
      <c r="Q16" s="143">
        <f>IF('Master Sheet'!$E$11="Regular Pay",'Master Sheet'!$C$11,"0")</f>
        <v>0.0</v>
      </c>
      <c r="R16" s="144">
        <v>0.0</v>
      </c>
      <c r="S16" s="145"/>
      <c r="T16" s="143">
        <f>'Master Sheet'!$C$13</f>
        <v>0.0</v>
      </c>
      <c r="U16" s="145"/>
      <c r="V16" s="143">
        <f t="shared" si="2"/>
        <v>9233.0</v>
      </c>
      <c r="W16" s="146">
        <f t="shared" si="1"/>
        <v>78631.0</v>
      </c>
      <c r="X16" s="115"/>
      <c r="Y16" s="115"/>
      <c r="Z16" s="115"/>
      <c r="AA16" s="116"/>
      <c r="AB16" s="115"/>
      <c r="AC16" s="115"/>
      <c r="AD16" s="115"/>
      <c r="AE16" s="115"/>
      <c r="AF16" s="115"/>
      <c r="AG16" s="115"/>
      <c r="AH16" s="115"/>
      <c r="AI16" s="115"/>
    </row>
    <row r="17" spans="8:8" ht="15.2">
      <c r="A17" s="141">
        <v>12.0</v>
      </c>
      <c r="B17" s="142">
        <v>46054.0</v>
      </c>
      <c r="C17" s="143">
        <f t="shared" si="3"/>
        <v>52300.0</v>
      </c>
      <c r="D17" s="143">
        <f>IF('Master Sheet'!$E$11="Regular Pay",C17*58/100," ")</f>
        <v>30334.0</v>
      </c>
      <c r="E17" s="143">
        <f>IF('Master Sheet'!$E$11="Regular Pay",C17*'Master Sheet'!$C$12,"")</f>
        <v>5230.0</v>
      </c>
      <c r="F17" s="144">
        <v>0.0</v>
      </c>
      <c r="G17" s="144">
        <v>0.0</v>
      </c>
      <c r="H17" s="145"/>
      <c r="I17" s="145"/>
      <c r="J17" s="144">
        <v>0.0</v>
      </c>
      <c r="K17" s="143">
        <f t="shared" si="0"/>
        <v>87864.0</v>
      </c>
      <c r="L17" s="143">
        <f>IF('Master Sheet'!$E$11="Regular Pay",'Master Sheet'!$E$12,"0")</f>
        <v>5000.0</v>
      </c>
      <c r="M17" s="143" t="str">
        <f t="shared" si="4"/>
        <v>3575</v>
      </c>
      <c r="N17" s="143">
        <f>'Master Sheet'!$E$9</f>
        <v>0.0</v>
      </c>
      <c r="O17" s="143" t="str">
        <f t="shared" si="5"/>
        <v>658</v>
      </c>
      <c r="P17" s="143">
        <f>IF('Master Sheet'!$E$11="Regular Pay",'Master Sheet'!$E$10,"0")</f>
        <v>0.0</v>
      </c>
      <c r="Q17" s="143">
        <f>IF('Master Sheet'!$E$11="Regular Pay",'Master Sheet'!$C$11,"0")</f>
        <v>0.0</v>
      </c>
      <c r="R17" s="144">
        <v>0.0</v>
      </c>
      <c r="S17" s="145"/>
      <c r="T17" s="143">
        <f>'Master Sheet'!$C$13</f>
        <v>0.0</v>
      </c>
      <c r="U17" s="145"/>
      <c r="V17" s="143">
        <f t="shared" si="2"/>
        <v>9233.0</v>
      </c>
      <c r="W17" s="146">
        <f t="shared" si="1"/>
        <v>78631.0</v>
      </c>
      <c r="X17" s="115"/>
      <c r="Y17" s="115"/>
      <c r="Z17" s="115"/>
      <c r="AA17" s="116"/>
      <c r="AB17" s="115"/>
      <c r="AC17" s="115"/>
      <c r="AD17" s="115"/>
      <c r="AE17" s="115"/>
      <c r="AF17" s="115"/>
      <c r="AG17" s="115"/>
      <c r="AH17" s="115"/>
      <c r="AI17" s="115"/>
    </row>
    <row r="18" spans="8:8" ht="15.0">
      <c r="A18" s="141">
        <v>13.0</v>
      </c>
      <c r="B18" s="142" t="s">
        <v>159</v>
      </c>
      <c r="C18" s="148"/>
      <c r="D18" s="148"/>
      <c r="E18" s="145"/>
      <c r="F18" s="145"/>
      <c r="G18" s="145"/>
      <c r="H18" s="145"/>
      <c r="I18" s="149" t="str">
        <f>IF('Master Sheet'!$E$6="Yes",J32,"0")</f>
        <v>0</v>
      </c>
      <c r="J18" s="145"/>
      <c r="K18" s="143">
        <f t="shared" si="0"/>
        <v>0.0</v>
      </c>
      <c r="L18" s="145"/>
      <c r="M18" s="143">
        <f>IF('Master Sheet'!$E$11="Regular Pay",ROUND(K18*25%,0),"0")</f>
        <v>0.0</v>
      </c>
      <c r="N18" s="145"/>
      <c r="O18" s="145"/>
      <c r="P18" s="145"/>
      <c r="Q18" s="145"/>
      <c r="R18" s="145"/>
      <c r="S18" s="145"/>
      <c r="T18" s="145"/>
      <c r="U18" s="145"/>
      <c r="V18" s="143">
        <f t="shared" si="2"/>
        <v>0.0</v>
      </c>
      <c r="W18" s="146">
        <f t="shared" si="1"/>
        <v>0.0</v>
      </c>
      <c r="X18" s="115"/>
      <c r="Y18" s="115"/>
      <c r="Z18" s="115"/>
      <c r="AA18" s="116"/>
      <c r="AB18" s="115"/>
      <c r="AC18" s="115"/>
      <c r="AD18" s="115"/>
      <c r="AE18" s="115"/>
      <c r="AF18" s="115"/>
      <c r="AG18" s="115"/>
      <c r="AH18" s="115"/>
      <c r="AI18" s="115"/>
    </row>
    <row r="19" spans="8:8" ht="15.0">
      <c r="A19" s="141">
        <v>14.0</v>
      </c>
      <c r="B19" s="150" t="s">
        <v>172</v>
      </c>
      <c r="C19" s="151">
        <f>IF('Master Sheet'!$C$9="YES",C33,"0")</f>
        <v>26150.0</v>
      </c>
      <c r="D19" s="151">
        <f>IF('Master Sheet'!$C$9="YES",D33,"0")</f>
        <v>15167.0</v>
      </c>
      <c r="E19" s="152"/>
      <c r="F19" s="145"/>
      <c r="G19" s="145"/>
      <c r="H19" s="145"/>
      <c r="I19" s="145"/>
      <c r="J19" s="145"/>
      <c r="K19" s="143">
        <f t="shared" si="0"/>
        <v>41317.0</v>
      </c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3">
        <f t="shared" si="2"/>
        <v>0.0</v>
      </c>
      <c r="W19" s="146">
        <f t="shared" si="1"/>
        <v>41317.0</v>
      </c>
      <c r="X19" s="115"/>
      <c r="Y19" s="115"/>
      <c r="Z19" s="115"/>
      <c r="AA19" s="116"/>
      <c r="AB19" s="115"/>
      <c r="AC19" s="115"/>
      <c r="AD19" s="115"/>
      <c r="AE19" s="115"/>
      <c r="AF19" s="115"/>
      <c r="AG19" s="115"/>
      <c r="AH19" s="115"/>
      <c r="AI19" s="115"/>
    </row>
    <row r="20" spans="8:8" ht="45.0">
      <c r="A20" s="141">
        <v>15.0</v>
      </c>
      <c r="B20" s="142" t="s">
        <v>197</v>
      </c>
      <c r="C20" s="153">
        <v>0.0</v>
      </c>
      <c r="D20" s="143">
        <f>IF('Master Sheet'!$E$11="Regular Pay",ROUND(C6*2%,0)*3,"0")</f>
        <v>3048.0</v>
      </c>
      <c r="E20" s="145"/>
      <c r="F20" s="145"/>
      <c r="G20" s="145"/>
      <c r="H20" s="145"/>
      <c r="I20" s="145"/>
      <c r="J20" s="145"/>
      <c r="K20" s="143">
        <f t="shared" si="0"/>
        <v>3048.0</v>
      </c>
      <c r="L20" s="145"/>
      <c r="M20" s="143">
        <f>IF('Master Sheet'!$E$11="Regular Pay",D20,"0")</f>
        <v>3048.0</v>
      </c>
      <c r="N20" s="145"/>
      <c r="O20" s="145"/>
      <c r="P20" s="145"/>
      <c r="Q20" s="145"/>
      <c r="R20" s="145"/>
      <c r="S20" s="145"/>
      <c r="T20" s="145"/>
      <c r="U20" s="145"/>
      <c r="V20" s="143">
        <f t="shared" si="2"/>
        <v>3048.0</v>
      </c>
      <c r="W20" s="146">
        <f>K20-V20</f>
        <v>0.0</v>
      </c>
      <c r="X20" s="115"/>
      <c r="Y20" s="115"/>
      <c r="Z20" s="115"/>
      <c r="AA20" s="116"/>
      <c r="AB20" s="115"/>
      <c r="AC20" s="115"/>
      <c r="AD20" s="115"/>
      <c r="AE20" s="115"/>
      <c r="AF20" s="115"/>
      <c r="AG20" s="115"/>
      <c r="AH20" s="115"/>
      <c r="AI20" s="115"/>
    </row>
    <row r="21" spans="8:8" ht="45.0">
      <c r="A21" s="141">
        <v>16.0</v>
      </c>
      <c r="B21" s="142" t="s">
        <v>195</v>
      </c>
      <c r="C21" s="144">
        <v>0.0</v>
      </c>
      <c r="D21" s="154">
        <f>IF('Master Sheet'!$E$11="Regular Pay",ROUND(C10*3%,0)*3,"0")</f>
        <v>4707.0</v>
      </c>
      <c r="E21" s="145"/>
      <c r="F21" s="145"/>
      <c r="G21" s="145"/>
      <c r="H21" s="145"/>
      <c r="I21" s="145"/>
      <c r="J21" s="145"/>
      <c r="K21" s="143">
        <f t="shared" si="0"/>
        <v>4707.0</v>
      </c>
      <c r="L21" s="145"/>
      <c r="M21" s="154">
        <f>IF('Master Sheet'!$E$11="Regular Pay",D21,"0")</f>
        <v>4707.0</v>
      </c>
      <c r="N21" s="145"/>
      <c r="O21" s="145"/>
      <c r="P21" s="145"/>
      <c r="Q21" s="145"/>
      <c r="R21" s="145"/>
      <c r="S21" s="145"/>
      <c r="T21" s="145"/>
      <c r="U21" s="145"/>
      <c r="V21" s="143">
        <f t="shared" si="2"/>
        <v>4707.0</v>
      </c>
      <c r="W21" s="146">
        <f>K21-V21</f>
        <v>0.0</v>
      </c>
      <c r="X21" s="115"/>
      <c r="Y21" s="115"/>
      <c r="Z21" s="115"/>
      <c r="AA21" s="116"/>
      <c r="AB21" s="115"/>
      <c r="AC21" s="115"/>
      <c r="AD21" s="115"/>
      <c r="AE21" s="115"/>
      <c r="AF21" s="115"/>
      <c r="AG21" s="115"/>
      <c r="AH21" s="115"/>
      <c r="AI21" s="115"/>
    </row>
    <row r="22" spans="8:8" ht="15.0">
      <c r="A22" s="141">
        <v>17.0</v>
      </c>
      <c r="B22" s="142" t="s">
        <v>173</v>
      </c>
      <c r="C22" s="144">
        <v>0.0</v>
      </c>
      <c r="D22" s="145"/>
      <c r="E22" s="145"/>
      <c r="F22" s="145"/>
      <c r="G22" s="145"/>
      <c r="H22" s="145"/>
      <c r="I22" s="145"/>
      <c r="J22" s="145"/>
      <c r="K22" s="143">
        <f t="shared" si="0"/>
        <v>0.0</v>
      </c>
      <c r="L22" s="145"/>
      <c r="M22" s="144">
        <v>0.0</v>
      </c>
      <c r="N22" s="145"/>
      <c r="O22" s="145"/>
      <c r="P22" s="145"/>
      <c r="Q22" s="145"/>
      <c r="R22" s="145"/>
      <c r="S22" s="145"/>
      <c r="T22" s="145"/>
      <c r="U22" s="145"/>
      <c r="V22" s="143">
        <f t="shared" si="2"/>
        <v>0.0</v>
      </c>
      <c r="W22" s="155">
        <f t="shared" si="1"/>
        <v>0.0</v>
      </c>
      <c r="X22" s="115"/>
      <c r="Y22" s="115"/>
      <c r="Z22" s="115"/>
      <c r="AA22" s="116"/>
      <c r="AB22" s="115"/>
      <c r="AC22" s="115"/>
      <c r="AD22" s="115"/>
      <c r="AE22" s="115"/>
      <c r="AF22" s="115"/>
      <c r="AG22" s="115"/>
      <c r="AH22" s="115"/>
      <c r="AI22" s="115"/>
    </row>
    <row r="23" spans="8:8" ht="30.0">
      <c r="A23" s="141">
        <v>18.0</v>
      </c>
      <c r="B23" s="142" t="s">
        <v>174</v>
      </c>
      <c r="C23" s="144">
        <v>0.0</v>
      </c>
      <c r="D23" s="144">
        <v>0.0</v>
      </c>
      <c r="E23" s="145"/>
      <c r="F23" s="145"/>
      <c r="G23" s="145"/>
      <c r="H23" s="145"/>
      <c r="I23" s="145"/>
      <c r="J23" s="145"/>
      <c r="K23" s="143">
        <f t="shared" si="0"/>
        <v>0.0</v>
      </c>
      <c r="L23" s="145"/>
      <c r="M23" s="144"/>
      <c r="N23" s="145"/>
      <c r="O23" s="145"/>
      <c r="P23" s="145"/>
      <c r="Q23" s="145"/>
      <c r="R23" s="145"/>
      <c r="S23" s="145"/>
      <c r="T23" s="145"/>
      <c r="U23" s="145"/>
      <c r="V23" s="143">
        <f t="shared" si="2"/>
        <v>0.0</v>
      </c>
      <c r="W23" s="156">
        <f t="shared" si="1"/>
        <v>0.0</v>
      </c>
      <c r="X23" s="115"/>
      <c r="Y23" s="115"/>
      <c r="Z23" s="115"/>
      <c r="AA23" s="116"/>
      <c r="AB23" s="115"/>
      <c r="AC23" s="115"/>
      <c r="AD23" s="115"/>
      <c r="AE23" s="115"/>
      <c r="AF23" s="115"/>
      <c r="AG23" s="115"/>
      <c r="AH23" s="115"/>
      <c r="AI23" s="115"/>
    </row>
    <row r="24" spans="8:8" ht="15.0">
      <c r="A24" s="141">
        <v>19.0</v>
      </c>
      <c r="B24" s="157" t="s">
        <v>40</v>
      </c>
      <c r="C24" s="145">
        <v>0.0</v>
      </c>
      <c r="D24" s="145">
        <v>0.0</v>
      </c>
      <c r="E24" s="145">
        <v>0.0</v>
      </c>
      <c r="F24" s="145"/>
      <c r="G24" s="145"/>
      <c r="H24" s="145"/>
      <c r="I24" s="145"/>
      <c r="J24" s="145"/>
      <c r="K24" s="143">
        <f t="shared" si="0"/>
        <v>0.0</v>
      </c>
      <c r="L24" s="145"/>
      <c r="M24" s="145">
        <v>0.0</v>
      </c>
      <c r="N24" s="145"/>
      <c r="O24" s="145"/>
      <c r="P24" s="145"/>
      <c r="Q24" s="145"/>
      <c r="R24" s="145"/>
      <c r="S24" s="145"/>
      <c r="T24" s="145"/>
      <c r="U24" s="145"/>
      <c r="V24" s="143">
        <f t="shared" si="2"/>
        <v>0.0</v>
      </c>
      <c r="W24" s="146">
        <f t="shared" si="1"/>
        <v>0.0</v>
      </c>
      <c r="X24" s="115"/>
      <c r="Y24" s="115"/>
      <c r="Z24" s="115"/>
      <c r="AA24" s="116"/>
      <c r="AB24" s="115"/>
      <c r="AC24" s="115"/>
      <c r="AD24" s="115"/>
      <c r="AE24" s="115"/>
      <c r="AF24" s="115"/>
      <c r="AG24" s="115"/>
      <c r="AH24" s="115"/>
      <c r="AI24" s="115"/>
    </row>
    <row r="25" spans="8:8" ht="15.0">
      <c r="A25" s="141">
        <v>20.0</v>
      </c>
      <c r="B25" s="157"/>
      <c r="C25" s="145"/>
      <c r="D25" s="145"/>
      <c r="E25" s="145"/>
      <c r="F25" s="145"/>
      <c r="G25" s="145"/>
      <c r="H25" s="145"/>
      <c r="I25" s="145"/>
      <c r="J25" s="145"/>
      <c r="K25" s="143">
        <f t="shared" si="0"/>
        <v>0.0</v>
      </c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3">
        <f t="shared" si="2"/>
        <v>0.0</v>
      </c>
      <c r="W25" s="146">
        <f t="shared" si="1"/>
        <v>0.0</v>
      </c>
      <c r="X25" s="115"/>
      <c r="Y25" s="115"/>
      <c r="Z25" s="115"/>
      <c r="AA25" s="116"/>
      <c r="AB25" s="115"/>
      <c r="AC25" s="115"/>
      <c r="AD25" s="115"/>
      <c r="AE25" s="115"/>
      <c r="AF25" s="115"/>
      <c r="AG25" s="115"/>
      <c r="AH25" s="115"/>
      <c r="AI25" s="115"/>
    </row>
    <row r="26" spans="8:8" ht="15.0">
      <c r="A26" s="141">
        <v>21.0</v>
      </c>
      <c r="B26" s="157"/>
      <c r="C26" s="145"/>
      <c r="D26" s="145"/>
      <c r="E26" s="145"/>
      <c r="F26" s="145"/>
      <c r="G26" s="145"/>
      <c r="H26" s="145"/>
      <c r="I26" s="145"/>
      <c r="J26" s="145"/>
      <c r="K26" s="143">
        <f t="shared" si="0"/>
        <v>0.0</v>
      </c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3">
        <f t="shared" si="2"/>
        <v>0.0</v>
      </c>
      <c r="W26" s="146">
        <f t="shared" si="1"/>
        <v>0.0</v>
      </c>
      <c r="X26" s="115"/>
      <c r="Y26" s="115"/>
      <c r="Z26" s="115"/>
      <c r="AA26" s="116"/>
      <c r="AB26" s="115"/>
      <c r="AC26" s="115"/>
      <c r="AD26" s="115"/>
      <c r="AE26" s="115"/>
      <c r="AF26" s="115"/>
      <c r="AG26" s="115"/>
      <c r="AH26" s="115"/>
      <c r="AI26" s="115"/>
    </row>
    <row r="27" spans="8:8" ht="15.0">
      <c r="A27" s="158"/>
      <c r="B27" s="159" t="s">
        <v>181</v>
      </c>
      <c r="C27" s="160">
        <f t="shared" si="6" ref="C27:J27">SUM(C6:C26)</f>
        <v>647750.0</v>
      </c>
      <c r="D27" s="160">
        <f t="shared" si="6"/>
        <v>371631.0</v>
      </c>
      <c r="E27" s="160">
        <f t="shared" si="6"/>
        <v>62160.0</v>
      </c>
      <c r="F27" s="160">
        <f t="shared" si="6"/>
        <v>0.0</v>
      </c>
      <c r="G27" s="160">
        <f t="shared" si="6"/>
        <v>0.0</v>
      </c>
      <c r="H27" s="160">
        <f t="shared" si="6"/>
        <v>0.0</v>
      </c>
      <c r="I27" s="160">
        <f t="shared" si="6"/>
        <v>0.0</v>
      </c>
      <c r="J27" s="160">
        <f t="shared" si="6"/>
        <v>0.0</v>
      </c>
      <c r="K27" s="143">
        <f t="shared" si="0"/>
        <v>1081541.0</v>
      </c>
      <c r="L27" s="160">
        <f>SUM(L6:L26)</f>
        <v>60000.0</v>
      </c>
      <c r="M27" s="160">
        <f>M6+M7+M8+M9+M10+M11+M12+M13+M14+M15+M16+M17+M18+M19+M20+M21+M22+M23+M24+M25+M26</f>
        <v>47755.0</v>
      </c>
      <c r="N27" s="160">
        <f>SUM(N6:N26)</f>
        <v>0.0</v>
      </c>
      <c r="O27" s="160">
        <f>O6+O7+O8+O9+O10+O11+O12+O13+O14+O15+O16+O17</f>
        <v>7896.0</v>
      </c>
      <c r="P27" s="160">
        <f t="shared" si="7" ref="P27:U27">SUM(P6:P26)</f>
        <v>0.0</v>
      </c>
      <c r="Q27" s="160">
        <f t="shared" si="7"/>
        <v>0.0</v>
      </c>
      <c r="R27" s="160">
        <f t="shared" si="7"/>
        <v>0.0</v>
      </c>
      <c r="S27" s="160">
        <f>S6+S7+S8+S9+S10+S11+S12+S13+S14+S15+S16+S17+S18+S19+S20+S21+S22+S23+S24+S25+S26</f>
        <v>250.0</v>
      </c>
      <c r="T27" s="160">
        <f t="shared" si="7"/>
        <v>0.0</v>
      </c>
      <c r="U27" s="160">
        <f t="shared" si="7"/>
        <v>2100.0</v>
      </c>
      <c r="V27" s="143">
        <f t="shared" si="2"/>
        <v>118001.0</v>
      </c>
      <c r="W27" s="161">
        <f>K27-V27</f>
        <v>963540.0</v>
      </c>
      <c r="X27" s="115"/>
      <c r="Y27" s="115"/>
      <c r="Z27" s="115"/>
      <c r="AA27" s="116"/>
      <c r="AB27" s="115"/>
      <c r="AC27" s="115"/>
      <c r="AD27" s="115"/>
      <c r="AE27" s="115"/>
      <c r="AF27" s="115"/>
      <c r="AG27" s="115"/>
      <c r="AH27" s="115"/>
      <c r="AI27" s="115"/>
    </row>
    <row r="28" spans="8:8">
      <c r="A28" s="162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63"/>
      <c r="P28" s="163"/>
      <c r="Q28" s="163"/>
      <c r="R28" s="163"/>
      <c r="S28" s="163"/>
      <c r="T28" s="163"/>
      <c r="U28" s="163"/>
      <c r="V28" s="163"/>
      <c r="W28" s="164"/>
      <c r="X28" s="115"/>
      <c r="Y28" s="115"/>
      <c r="Z28" s="115"/>
      <c r="AA28" s="116"/>
      <c r="AB28" s="115"/>
      <c r="AC28" s="115"/>
      <c r="AD28" s="115"/>
      <c r="AE28" s="115"/>
      <c r="AF28" s="115"/>
      <c r="AG28" s="115"/>
      <c r="AH28" s="115"/>
      <c r="AI28" s="115"/>
    </row>
    <row r="29" spans="8:8" ht="18.75">
      <c r="A29" s="162"/>
      <c r="B29" s="116"/>
      <c r="C29" s="165" t="str">
        <f>'Master Sheet'!C3</f>
        <v>mahendra kumar</v>
      </c>
      <c r="D29" s="165"/>
      <c r="E29" s="165"/>
      <c r="F29" s="165"/>
      <c r="G29" s="165"/>
      <c r="H29" s="165"/>
      <c r="I29" s="116"/>
      <c r="J29" s="116"/>
      <c r="K29" s="116"/>
      <c r="L29" s="116"/>
      <c r="M29" s="116"/>
      <c r="N29" s="116"/>
      <c r="O29" s="163"/>
      <c r="P29" s="163"/>
      <c r="Q29" s="166" t="str">
        <f>'Master Sheet'!E3</f>
        <v>ANIL KUMAR MEENA</v>
      </c>
      <c r="R29" s="166"/>
      <c r="S29" s="166"/>
      <c r="T29" s="166"/>
      <c r="U29" s="166"/>
      <c r="V29" s="166"/>
      <c r="W29" s="167"/>
      <c r="X29" s="115"/>
      <c r="Y29" s="115"/>
      <c r="Z29" s="115"/>
      <c r="AA29" s="116"/>
      <c r="AB29" s="115"/>
      <c r="AC29" s="115"/>
      <c r="AD29" s="115"/>
      <c r="AE29" s="117"/>
      <c r="AF29" s="117"/>
      <c r="AG29" s="117"/>
      <c r="AH29" s="115"/>
      <c r="AI29" s="115"/>
    </row>
    <row r="30" spans="8:8" ht="18.75">
      <c r="A30" s="168"/>
      <c r="B30" s="169"/>
      <c r="C30" s="170" t="s">
        <v>0</v>
      </c>
      <c r="D30" s="170"/>
      <c r="E30" s="170"/>
      <c r="F30" s="170"/>
      <c r="G30" s="170"/>
      <c r="H30" s="170"/>
      <c r="I30" s="169"/>
      <c r="J30" s="169"/>
      <c r="K30" s="169"/>
      <c r="L30" s="169"/>
      <c r="M30" s="169"/>
      <c r="N30" s="169"/>
      <c r="O30" s="171"/>
      <c r="P30" s="171"/>
      <c r="Q30" s="172" t="s">
        <v>1</v>
      </c>
      <c r="R30" s="172"/>
      <c r="S30" s="172"/>
      <c r="T30" s="172"/>
      <c r="U30" s="172"/>
      <c r="V30" s="172"/>
      <c r="W30" s="173"/>
      <c r="X30" s="115"/>
      <c r="Y30" s="115"/>
      <c r="Z30" s="115"/>
      <c r="AA30" s="116"/>
      <c r="AB30" s="115"/>
      <c r="AC30" s="115"/>
      <c r="AD30" s="115"/>
      <c r="AE30" s="117"/>
      <c r="AF30" s="117"/>
      <c r="AG30" s="117"/>
      <c r="AH30" s="115"/>
      <c r="AI30" s="115"/>
    </row>
    <row r="31" spans="8:8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15"/>
      <c r="Y31" s="115"/>
      <c r="Z31" s="115"/>
      <c r="AA31" s="116"/>
      <c r="AB31" s="115"/>
      <c r="AC31" s="115"/>
      <c r="AD31" s="115"/>
      <c r="AE31" s="117"/>
      <c r="AF31" s="117"/>
      <c r="AG31" s="117"/>
      <c r="AH31" s="115"/>
      <c r="AI31" s="115"/>
    </row>
    <row r="32" spans="8:8">
      <c r="A32" s="174"/>
      <c r="B32" s="175"/>
      <c r="C32" s="176">
        <f>IF('Master Sheet'!$C$10="Mar.25",C6/2,IF('Master Sheet'!$C$10="Apr.25",C7/2,IF('Master Sheet'!$C$10="May.25",C8/2,IF('Master Sheet'!$C$10="Jul.25",C10/2,IF('Master Sheet'!$C$10="Aug.25",C11/2,IF('Master Sheet'!$C$10="Sep.25",C12/2,IF('Master Sheet'!$C$10="Oct.25",C13/2,IF('Master Sheet'!$C$10="Nov.25",C14/2,IF('Master Sheet'!$C$10="Dec.25",C15/2,IF('Master Sheet'!$C$10="Jan.26",C16/2,IF('Master Sheet'!$C$10="Feb.26",C17/2,IF('Master Sheet'!$C$10="Jun.26",C9/2,IF('Master Sheet'!$C$10="No",0)))))))))))))</f>
        <v>26150.0</v>
      </c>
      <c r="D32" s="176">
        <f>IF('Master Sheet'!$C$10="Mar.25",ROUND(D6/2,0),IF('Master Sheet'!$C$10="Apr.25",ROUND(D7/2,0),IF('Master Sheet'!$C$10="May.25",ROUND(D8/2,0),IF('Master Sheet'!$C$10="Jun.25",ROUND(D9/2,0),IF('Master Sheet'!$C$10="Jul.25",ROUND(D10/2,0),IF('Master Sheet'!$C$10="Aug.25",ROUND(D11/2,0),IF('Master Sheet'!$C$10="Sep.25",ROUND(D12/2,0),IF('Master Sheet'!$C$10="Oct.25",ROUND(D13/2,0),IF('Master Sheet'!$C$10="Nov.25",ROUND(D14/2,0),IF('Master Sheet'!$C$10="Dec.25",ROUND(D15/2,0),IF('Master Sheet'!$C$10="Jan.26",ROUND(D16/2,0),IF('Master Sheet'!$C$10="Feb.26",ROUND(D17/2,0)))))))))))))</f>
        <v>15167.0</v>
      </c>
      <c r="E32" s="175"/>
      <c r="F32" s="174"/>
      <c r="G32" s="174"/>
      <c r="H32" s="174"/>
      <c r="I32" s="174"/>
      <c r="J32" s="176">
        <f>IF('Master Sheet'!$E$11="Regular Pay",6774,"")</f>
        <v>6774.0</v>
      </c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15"/>
      <c r="Y32" s="115"/>
      <c r="Z32" s="115"/>
      <c r="AA32" s="116"/>
      <c r="AB32" s="115"/>
      <c r="AC32" s="115"/>
      <c r="AD32" s="115"/>
      <c r="AE32" s="117"/>
      <c r="AF32" s="117"/>
      <c r="AG32" s="117"/>
      <c r="AH32" s="115"/>
      <c r="AI32" s="115"/>
    </row>
    <row r="33" spans="8:8">
      <c r="A33" s="174"/>
      <c r="B33" s="175"/>
      <c r="C33" s="177">
        <f>IF('Master Sheet'!$E$11="Regular Pay",C32,"")</f>
        <v>26150.0</v>
      </c>
      <c r="D33" s="177">
        <f>IF('Master Sheet'!$E$11="Regular Pay",D32,"")</f>
        <v>15167.0</v>
      </c>
      <c r="E33" s="175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8"/>
      <c r="X33" s="115"/>
      <c r="Y33" s="115"/>
      <c r="Z33" s="116"/>
      <c r="AA33" s="115"/>
      <c r="AB33" s="115"/>
      <c r="AC33" s="115"/>
      <c r="AD33" s="117"/>
      <c r="AE33" s="117"/>
      <c r="AF33" s="117"/>
      <c r="AG33" s="115"/>
      <c r="AH33" s="115"/>
    </row>
    <row r="34" spans="8:8">
      <c r="A34" s="179"/>
      <c r="B34" s="175"/>
      <c r="C34" s="175"/>
      <c r="D34" s="175"/>
      <c r="E34" s="175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15"/>
      <c r="Y34" s="115"/>
      <c r="Z34" s="115"/>
      <c r="AA34" s="116"/>
      <c r="AB34" s="115"/>
      <c r="AC34" s="115"/>
      <c r="AD34" s="115"/>
      <c r="AE34" s="117"/>
      <c r="AF34" s="117"/>
      <c r="AG34" s="117"/>
      <c r="AH34" s="115"/>
      <c r="AI34" s="115"/>
    </row>
    <row r="35" spans="8:8">
      <c r="A35" s="116"/>
      <c r="B35" s="175"/>
      <c r="C35" s="175"/>
      <c r="D35" s="175"/>
      <c r="E35" s="175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5"/>
      <c r="Y35" s="115"/>
      <c r="Z35" s="115"/>
      <c r="AA35" s="116"/>
      <c r="AB35" s="115"/>
      <c r="AC35" s="115"/>
      <c r="AD35" s="115"/>
      <c r="AE35" s="117"/>
      <c r="AF35" s="117"/>
      <c r="AG35" s="117"/>
      <c r="AH35" s="115"/>
      <c r="AI35" s="115"/>
    </row>
    <row r="36" spans="8:8">
      <c r="A36" s="116"/>
      <c r="B36" s="175"/>
      <c r="C36" s="175"/>
      <c r="D36" s="175"/>
      <c r="E36" s="175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5"/>
      <c r="Y36" s="115"/>
      <c r="Z36" s="115"/>
      <c r="AA36" s="116"/>
      <c r="AB36" s="115"/>
      <c r="AC36" s="115"/>
      <c r="AD36" s="115"/>
      <c r="AE36" s="117"/>
      <c r="AF36" s="117"/>
      <c r="AG36" s="117"/>
      <c r="AH36" s="115"/>
      <c r="AI36" s="115"/>
    </row>
    <row r="37" spans="8:8">
      <c r="A37" s="116"/>
      <c r="B37" s="175"/>
      <c r="C37" s="175"/>
      <c r="D37" s="175"/>
      <c r="E37" s="175"/>
      <c r="F37" s="116"/>
      <c r="G37" s="116"/>
      <c r="H37" s="116"/>
      <c r="I37" s="116"/>
      <c r="J37" s="116"/>
      <c r="K37" s="116"/>
      <c r="L37" s="180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5"/>
      <c r="Y37" s="115"/>
      <c r="Z37" s="115"/>
      <c r="AA37" s="116"/>
      <c r="AB37" s="115"/>
      <c r="AC37" s="115"/>
      <c r="AD37" s="115"/>
      <c r="AE37" s="117"/>
      <c r="AF37" s="117"/>
      <c r="AG37" s="117"/>
      <c r="AH37" s="115"/>
      <c r="AI37" s="115"/>
    </row>
    <row r="38" spans="8:8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5"/>
      <c r="Y38" s="115"/>
      <c r="Z38" s="115"/>
      <c r="AA38" s="116"/>
      <c r="AB38" s="115"/>
      <c r="AC38" s="115"/>
      <c r="AD38" s="115"/>
      <c r="AE38" s="117"/>
      <c r="AF38" s="117"/>
      <c r="AG38" s="117"/>
      <c r="AH38" s="115"/>
      <c r="AI38" s="115"/>
    </row>
    <row r="39" spans="8:8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5"/>
      <c r="Y39" s="115"/>
      <c r="Z39" s="115"/>
      <c r="AA39" s="116"/>
      <c r="AB39" s="115"/>
      <c r="AC39" s="115"/>
      <c r="AD39" s="115"/>
      <c r="AE39" s="117"/>
      <c r="AF39" s="117"/>
      <c r="AG39" s="117"/>
      <c r="AH39" s="115"/>
      <c r="AI39" s="115"/>
    </row>
    <row r="40" spans="8:8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5"/>
      <c r="Y40" s="115"/>
      <c r="Z40" s="115"/>
      <c r="AA40" s="116"/>
      <c r="AB40" s="115"/>
      <c r="AC40" s="115"/>
      <c r="AD40" s="115"/>
      <c r="AE40" s="117"/>
      <c r="AF40" s="117"/>
      <c r="AG40" s="117"/>
      <c r="AH40" s="115"/>
      <c r="AI40" s="115"/>
    </row>
    <row r="41" spans="8:8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5"/>
      <c r="Y41" s="115"/>
      <c r="Z41" s="115"/>
      <c r="AA41" s="116"/>
      <c r="AB41" s="115"/>
      <c r="AC41" s="115"/>
      <c r="AD41" s="115"/>
      <c r="AE41" s="117"/>
      <c r="AF41" s="117"/>
      <c r="AG41" s="117"/>
      <c r="AH41" s="115"/>
      <c r="AI41" s="115"/>
    </row>
    <row r="42" spans="8:8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5"/>
      <c r="Y42" s="115"/>
      <c r="Z42" s="115"/>
      <c r="AA42" s="116"/>
      <c r="AB42" s="115"/>
      <c r="AC42" s="115"/>
      <c r="AD42" s="115"/>
      <c r="AE42" s="117"/>
      <c r="AF42" s="117"/>
      <c r="AG42" s="117"/>
      <c r="AH42" s="115"/>
      <c r="AI42" s="115"/>
    </row>
  </sheetData>
  <sheetProtection password="cceb" sheet="1" objects="1" scenarios="1" formatCells="0" formatColumns="0" formatRows="0"/>
  <mergeCells count="22">
    <mergeCell ref="D2:H2"/>
    <mergeCell ref="C30:H30"/>
    <mergeCell ref="C29:H29"/>
    <mergeCell ref="Q30:W30"/>
    <mergeCell ref="Q29:W29"/>
    <mergeCell ref="A1:C1"/>
    <mergeCell ref="T3:V3"/>
    <mergeCell ref="A4:K4"/>
    <mergeCell ref="S2:W2"/>
    <mergeCell ref="W4:W5"/>
    <mergeCell ref="A2:C2"/>
    <mergeCell ref="A3:B3"/>
    <mergeCell ref="K2:N2"/>
    <mergeCell ref="O2:R2"/>
    <mergeCell ref="L4:V4"/>
    <mergeCell ref="D1:W1"/>
    <mergeCell ref="C3:E3"/>
    <mergeCell ref="G3:H3"/>
    <mergeCell ref="J3:L3"/>
    <mergeCell ref="M3:O3"/>
    <mergeCell ref="I2:J2"/>
    <mergeCell ref="P3:S3"/>
  </mergeCells>
  <printOptions horizontalCentered="1" verticalCentered="1"/>
  <pageMargins left="0.16" right="0.19" top="0.64" bottom="0.64" header="0.3" footer="0.3"/>
  <pageSetup paperSize="9" scale="88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K281"/>
  <sheetViews>
    <sheetView workbookViewId="0">
      <selection activeCell="M74" sqref="M74"/>
    </sheetView>
  </sheetViews>
  <sheetFormatPr defaultRowHeight="15.0" defaultColWidth="10"/>
  <cols>
    <col min="1" max="1" customWidth="1" width="3.875" style="181"/>
    <col min="2" max="2" customWidth="1" width="5.0" style="181"/>
    <col min="3" max="3" customWidth="1" bestFit="1" width="10.0" style="181"/>
    <col min="4" max="4" customWidth="1" width="14.75" style="181"/>
    <col min="5" max="5" customWidth="1" width="14.5" style="181"/>
    <col min="6" max="6" customWidth="1" width="2.625" style="181"/>
    <col min="7" max="7" customWidth="1" width="6.875" style="181"/>
    <col min="8" max="8" customWidth="1" width="9.125" style="181"/>
    <col min="9" max="9" customWidth="1" width="9.625" style="181"/>
    <col min="10" max="10" customWidth="1" bestFit="1" width="10.0" style="181"/>
    <col min="11" max="11" customWidth="1" width="28.25" style="181"/>
    <col min="12" max="12" customWidth="1" width="5.125" style="181"/>
    <col min="13" max="13" customWidth="1" width="11.5" style="181"/>
    <col min="14" max="14" customWidth="1" width="4.125" style="181"/>
    <col min="15" max="15" customWidth="1" width="10.25" style="181"/>
    <col min="16" max="16" customWidth="1" bestFit="1" width="10.0" style="181"/>
    <col min="17" max="16384" customWidth="0" width="10.0" style="181"/>
  </cols>
  <sheetData>
    <row r="1" spans="8:8" ht="24.0" customHeight="1">
      <c r="A1" s="182" t="s">
        <v>22</v>
      </c>
      <c r="B1" s="183"/>
      <c r="C1" s="183"/>
      <c r="D1" s="183"/>
      <c r="E1" s="183" t="str">
        <f>'Ga55'!D1</f>
        <v>GOVT.PRAVESHIKA SANSKRIT SCHOOL ,GUARA THALI</v>
      </c>
      <c r="F1" s="183"/>
      <c r="G1" s="183"/>
      <c r="H1" s="183"/>
      <c r="I1" s="183"/>
      <c r="J1" s="183"/>
      <c r="K1" s="183"/>
      <c r="L1" s="183"/>
      <c r="M1" s="183"/>
      <c r="N1" s="183"/>
      <c r="O1" s="184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</row>
    <row r="2" spans="8:8" ht="42.75" customHeight="1">
      <c r="A2" s="186" t="s">
        <v>41</v>
      </c>
      <c r="B2" s="187"/>
      <c r="C2" s="187"/>
      <c r="D2" s="187"/>
      <c r="E2" s="188" t="s">
        <v>182</v>
      </c>
      <c r="F2" s="188"/>
      <c r="G2" s="188"/>
      <c r="H2" s="189" t="s">
        <v>28</v>
      </c>
      <c r="I2" s="189"/>
      <c r="J2" s="190" t="s">
        <v>198</v>
      </c>
      <c r="K2" s="190"/>
      <c r="L2" s="191" t="str">
        <f>IF('Master Sheet'!$E$13="Yes","Old Tax Regime","New Tax Regime")</f>
        <v>Old Tax Regime</v>
      </c>
      <c r="M2" s="191"/>
      <c r="N2" s="191"/>
      <c r="O2" s="192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</row>
    <row r="3" spans="8:8">
      <c r="A3" s="193">
        <v>1.0</v>
      </c>
      <c r="B3" s="194" t="s">
        <v>42</v>
      </c>
      <c r="C3" s="194"/>
      <c r="D3" s="194" t="str">
        <f>'Ga55'!D2</f>
        <v>mahendra kumar</v>
      </c>
      <c r="E3" s="194"/>
      <c r="F3" s="194"/>
      <c r="G3" s="194"/>
      <c r="H3" s="194"/>
      <c r="I3" s="195" t="s">
        <v>43</v>
      </c>
      <c r="J3" s="194" t="str">
        <f>'Master Sheet'!E2</f>
        <v>Sr.Teacher</v>
      </c>
      <c r="K3" s="194"/>
      <c r="L3" s="194"/>
      <c r="M3" s="196" t="s">
        <v>44</v>
      </c>
      <c r="N3" s="197" t="str">
        <f>'Ga55'!C3</f>
        <v>AAAAA1234A</v>
      </c>
      <c r="O3" s="198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</row>
    <row r="4" spans="8:8">
      <c r="A4" s="199">
        <v>2.0</v>
      </c>
      <c r="B4" s="200" t="s">
        <v>199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1" t="s">
        <v>45</v>
      </c>
      <c r="O4" s="202">
        <f>'Ga55'!K27</f>
        <v>1081541.0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</row>
    <row r="5" spans="8:8">
      <c r="A5" s="203">
        <v>3.0</v>
      </c>
      <c r="B5" s="204" t="s">
        <v>46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1" t="s">
        <v>45</v>
      </c>
      <c r="O5" s="202">
        <f>IF('Master Sheet'!$E$13="Yes",'Master Sheet'!$C$15,"0")</f>
        <v>0.0</v>
      </c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</row>
    <row r="6" spans="8:8">
      <c r="A6" s="205">
        <v>4.0</v>
      </c>
      <c r="B6" s="206" t="s">
        <v>47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7" t="s">
        <v>45</v>
      </c>
      <c r="O6" s="208">
        <f>O4-O5</f>
        <v>1081541.0</v>
      </c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</row>
    <row r="7" spans="8:8">
      <c r="A7" s="209">
        <v>5.0</v>
      </c>
      <c r="B7" s="194" t="s">
        <v>48</v>
      </c>
      <c r="C7" s="194"/>
      <c r="D7" s="194"/>
      <c r="E7" s="194"/>
      <c r="F7" s="194"/>
      <c r="G7" s="194"/>
      <c r="H7" s="194"/>
      <c r="I7" s="194"/>
      <c r="J7" s="194"/>
      <c r="K7" s="210">
        <v>0.0</v>
      </c>
      <c r="L7" s="210"/>
      <c r="M7" s="210"/>
      <c r="N7" s="211"/>
      <c r="O7" s="212"/>
      <c r="P7" s="185"/>
      <c r="Q7" s="213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</row>
    <row r="8" spans="8:8">
      <c r="A8" s="214"/>
      <c r="B8" s="200" t="s">
        <v>49</v>
      </c>
      <c r="C8" s="200"/>
      <c r="D8" s="200"/>
      <c r="E8" s="200"/>
      <c r="F8" s="200"/>
      <c r="G8" s="200"/>
      <c r="H8" s="200"/>
      <c r="I8" s="200"/>
      <c r="J8" s="200"/>
      <c r="K8" s="215">
        <v>0.0</v>
      </c>
      <c r="L8" s="215"/>
      <c r="M8" s="215"/>
      <c r="N8" s="216"/>
      <c r="O8" s="217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</row>
    <row r="9" spans="8:8">
      <c r="A9" s="214"/>
      <c r="B9" s="200" t="s">
        <v>185</v>
      </c>
      <c r="C9" s="200"/>
      <c r="D9" s="200"/>
      <c r="E9" s="200"/>
      <c r="F9" s="200"/>
      <c r="G9" s="200"/>
      <c r="H9" s="200"/>
      <c r="I9" s="200"/>
      <c r="J9" s="200"/>
      <c r="K9" s="215">
        <f>IF('Master Sheet'!$E$13="Yes",50000,75000)</f>
        <v>50000.0</v>
      </c>
      <c r="L9" s="215"/>
      <c r="M9" s="215"/>
      <c r="N9" s="201" t="s">
        <v>45</v>
      </c>
      <c r="O9" s="218">
        <f>IF('Master Sheet'!$E$13="Yes",50000,75000)</f>
        <v>50000.0</v>
      </c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</row>
    <row r="10" spans="8:8">
      <c r="A10" s="203">
        <v>6.0</v>
      </c>
      <c r="B10" s="219" t="s">
        <v>50</v>
      </c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01" t="s">
        <v>45</v>
      </c>
      <c r="O10" s="202">
        <f>O6-O9</f>
        <v>1031541.0</v>
      </c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</row>
    <row r="11" spans="8:8">
      <c r="A11" s="214">
        <v>7.0</v>
      </c>
      <c r="B11" s="200" t="s">
        <v>51</v>
      </c>
      <c r="C11" s="200"/>
      <c r="D11" s="200"/>
      <c r="E11" s="200"/>
      <c r="F11" s="200"/>
      <c r="G11" s="200"/>
      <c r="H11" s="200"/>
      <c r="I11" s="220" t="s">
        <v>52</v>
      </c>
      <c r="J11" s="220"/>
      <c r="K11" s="215">
        <f>IF('Master Sheet'!E13="Yes",'Deduction '!F8,"0")</f>
        <v>0.0</v>
      </c>
      <c r="L11" s="215"/>
      <c r="M11" s="215"/>
      <c r="N11" s="216"/>
      <c r="O11" s="217"/>
      <c r="P11" s="185"/>
      <c r="Q11" s="185"/>
      <c r="R11" s="185"/>
      <c r="S11" s="185"/>
      <c r="T11" s="185"/>
      <c r="U11" s="185"/>
      <c r="V11" s="221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</row>
    <row r="12" spans="8:8" ht="18.0" customHeight="1">
      <c r="A12" s="214"/>
      <c r="B12" s="222" t="s">
        <v>53</v>
      </c>
      <c r="C12" s="222"/>
      <c r="D12" s="220" t="s">
        <v>54</v>
      </c>
      <c r="E12" s="220"/>
      <c r="F12" s="222" t="s">
        <v>55</v>
      </c>
      <c r="G12" s="222"/>
      <c r="H12" s="222"/>
      <c r="I12" s="220" t="s">
        <v>56</v>
      </c>
      <c r="J12" s="220"/>
      <c r="K12" s="222" t="s">
        <v>57</v>
      </c>
      <c r="L12" s="222"/>
      <c r="M12" s="222"/>
      <c r="N12" s="216"/>
      <c r="O12" s="217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</row>
    <row r="13" spans="8:8" ht="19.5" customHeight="1">
      <c r="A13" s="214"/>
      <c r="B13" s="222"/>
      <c r="C13" s="222"/>
      <c r="D13" s="215">
        <f>IF('Master Sheet'!E13="Yes",'Computation '!K11*30%,"0")</f>
        <v>0.0</v>
      </c>
      <c r="E13" s="215"/>
      <c r="F13" s="215">
        <f>IF('Master Sheet'!$E$13="Yes",IF('Deduction '!F12&gt;=200000,200000,'Deduction '!F12),"0")</f>
        <v>0.0</v>
      </c>
      <c r="G13" s="215"/>
      <c r="H13" s="215"/>
      <c r="I13" s="215">
        <f>IF('Master Sheet'!E13="Yes",'Deduction '!K8,"0")</f>
        <v>0.0</v>
      </c>
      <c r="J13" s="215"/>
      <c r="K13" s="215">
        <f>D13+F13+I13</f>
        <v>0.0</v>
      </c>
      <c r="L13" s="215"/>
      <c r="M13" s="215"/>
      <c r="N13" s="216"/>
      <c r="O13" s="217"/>
      <c r="P13" s="185"/>
      <c r="Q13" s="185"/>
      <c r="R13" s="185"/>
      <c r="S13" s="185"/>
      <c r="T13" s="185"/>
      <c r="U13" s="185"/>
      <c r="V13" s="185"/>
      <c r="W13" s="221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</row>
    <row r="14" spans="8:8">
      <c r="A14" s="223"/>
      <c r="B14" s="219" t="s">
        <v>58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01" t="s">
        <v>45</v>
      </c>
      <c r="O14" s="202">
        <f>K11-K13</f>
        <v>0.0</v>
      </c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</row>
    <row r="15" spans="8:8">
      <c r="A15" s="203">
        <v>8.0</v>
      </c>
      <c r="B15" s="200" t="s">
        <v>59</v>
      </c>
      <c r="C15" s="200"/>
      <c r="D15" s="200"/>
      <c r="E15" s="222">
        <f>IF('Master Sheet'!$E$13="Yes",'Deduction '!K12,"0")</f>
        <v>1200.0</v>
      </c>
      <c r="F15" s="222"/>
      <c r="G15" s="222" t="s">
        <v>60</v>
      </c>
      <c r="H15" s="222"/>
      <c r="I15" s="224">
        <f>IF('Master Sheet'!E13="Yes",'Deduction '!F9,"0")</f>
        <v>0.0</v>
      </c>
      <c r="J15" s="219" t="s">
        <v>61</v>
      </c>
      <c r="K15" s="219"/>
      <c r="L15" s="219"/>
      <c r="M15" s="219"/>
      <c r="N15" s="201" t="s">
        <v>45</v>
      </c>
      <c r="O15" s="202">
        <f>O10+O14</f>
        <v>1031541.0</v>
      </c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</row>
    <row r="16" spans="8:8">
      <c r="A16" s="203">
        <v>9.0</v>
      </c>
      <c r="B16" s="200" t="s">
        <v>62</v>
      </c>
      <c r="C16" s="200"/>
      <c r="D16" s="200"/>
      <c r="E16" s="222">
        <f>IF('Master Sheet'!$E$13="Yes",'Deduction '!F11,"0")</f>
        <v>0.0</v>
      </c>
      <c r="F16" s="222"/>
      <c r="G16" s="222" t="s">
        <v>63</v>
      </c>
      <c r="H16" s="222"/>
      <c r="I16" s="225">
        <f>IF('Master Sheet'!$E$13="Yes",'Deduction '!F10,"0")</f>
        <v>0.0</v>
      </c>
      <c r="J16" s="219" t="s">
        <v>64</v>
      </c>
      <c r="K16" s="219"/>
      <c r="L16" s="219"/>
      <c r="M16" s="219"/>
      <c r="N16" s="201" t="s">
        <v>45</v>
      </c>
      <c r="O16" s="202">
        <f>E15+I15+E16+I16</f>
        <v>1200.0</v>
      </c>
      <c r="P16" s="185"/>
      <c r="Q16" s="185"/>
      <c r="R16" s="185"/>
      <c r="S16" s="185"/>
      <c r="T16" s="185"/>
      <c r="U16" s="185"/>
      <c r="V16" s="221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</row>
    <row r="17" spans="8:8">
      <c r="A17" s="203">
        <v>10.0</v>
      </c>
      <c r="B17" s="200" t="s">
        <v>65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1" t="s">
        <v>45</v>
      </c>
      <c r="O17" s="202">
        <f>O15-O16</f>
        <v>1030341.0</v>
      </c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</row>
    <row r="18" spans="8:8">
      <c r="A18" s="214">
        <v>11.0</v>
      </c>
      <c r="B18" s="226" t="s">
        <v>66</v>
      </c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7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</row>
    <row r="19" spans="8:8">
      <c r="A19" s="214"/>
      <c r="B19" s="228" t="s">
        <v>67</v>
      </c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9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</row>
    <row r="20" spans="8:8">
      <c r="A20" s="214"/>
      <c r="B20" s="230" t="s">
        <v>68</v>
      </c>
      <c r="C20" s="204" t="s">
        <v>69</v>
      </c>
      <c r="D20" s="204"/>
      <c r="E20" s="204"/>
      <c r="F20" s="231" t="s">
        <v>45</v>
      </c>
      <c r="G20" s="231">
        <f>IF('Master Sheet'!$E$13="Yes",'Ga55'!L27,"")</f>
        <v>60000.0</v>
      </c>
      <c r="H20" s="230" t="s">
        <v>70</v>
      </c>
      <c r="I20" s="232" t="s">
        <v>71</v>
      </c>
      <c r="J20" s="232"/>
      <c r="K20" s="232"/>
      <c r="L20" s="231" t="s">
        <v>45</v>
      </c>
      <c r="M20" s="231">
        <f>IF($L$2="Old Tax Regime",'Deduction '!J5,"")</f>
        <v>0.0</v>
      </c>
      <c r="N20" s="233"/>
      <c r="O20" s="234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</row>
    <row r="21" spans="8:8">
      <c r="A21" s="214"/>
      <c r="B21" s="230" t="s">
        <v>72</v>
      </c>
      <c r="C21" s="204" t="s">
        <v>73</v>
      </c>
      <c r="D21" s="204"/>
      <c r="E21" s="204"/>
      <c r="F21" s="231" t="s">
        <v>45</v>
      </c>
      <c r="G21" s="231">
        <f>IF('Master Sheet'!E13="Yes",'Ga55'!N27,"")</f>
        <v>0.0</v>
      </c>
      <c r="H21" s="230" t="s">
        <v>74</v>
      </c>
      <c r="I21" s="204" t="s">
        <v>75</v>
      </c>
      <c r="J21" s="204"/>
      <c r="K21" s="204"/>
      <c r="L21" s="231" t="s">
        <v>45</v>
      </c>
      <c r="M21" s="231">
        <f>IF($L$2="Old Tax Regime",'Deduction '!J6,"")</f>
        <v>0.0</v>
      </c>
      <c r="N21" s="233"/>
      <c r="O21" s="234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</row>
    <row r="22" spans="8:8">
      <c r="A22" s="214"/>
      <c r="B22" s="230" t="s">
        <v>76</v>
      </c>
      <c r="C22" s="204" t="s">
        <v>77</v>
      </c>
      <c r="D22" s="204"/>
      <c r="E22" s="204"/>
      <c r="F22" s="231" t="s">
        <v>45</v>
      </c>
      <c r="G22" s="231">
        <f>IF($L$2="Old Tax Regime",'Deduction '!F5,"")</f>
        <v>0.0</v>
      </c>
      <c r="H22" s="230" t="s">
        <v>78</v>
      </c>
      <c r="I22" s="204" t="s">
        <v>79</v>
      </c>
      <c r="J22" s="204"/>
      <c r="K22" s="204"/>
      <c r="L22" s="231" t="s">
        <v>45</v>
      </c>
      <c r="M22" s="235">
        <f>IF('Master Sheet'!$E$13="Yes",'Deduction '!K6,"0")</f>
        <v>0.0</v>
      </c>
      <c r="N22" s="233"/>
      <c r="O22" s="234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</row>
    <row r="23" spans="8:8">
      <c r="A23" s="214"/>
      <c r="B23" s="230" t="s">
        <v>80</v>
      </c>
      <c r="C23" s="204" t="s">
        <v>81</v>
      </c>
      <c r="D23" s="204"/>
      <c r="E23" s="204"/>
      <c r="F23" s="231" t="s">
        <v>45</v>
      </c>
      <c r="G23" s="231">
        <f>IF($L$2="Old Tax Regime",'Deduction '!F6,"")</f>
        <v>0.0</v>
      </c>
      <c r="H23" s="230" t="s">
        <v>82</v>
      </c>
      <c r="I23" s="204" t="s">
        <v>83</v>
      </c>
      <c r="J23" s="204"/>
      <c r="K23" s="204"/>
      <c r="L23" s="231" t="s">
        <v>45</v>
      </c>
      <c r="M23" s="235">
        <f>IF('Master Sheet'!$E$13="Yes",'Deduction '!K7,"")</f>
        <v>0.0</v>
      </c>
      <c r="N23" s="233"/>
      <c r="O23" s="234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</row>
    <row r="24" spans="8:8">
      <c r="A24" s="214"/>
      <c r="B24" s="230" t="s">
        <v>84</v>
      </c>
      <c r="C24" s="204" t="s">
        <v>85</v>
      </c>
      <c r="D24" s="204"/>
      <c r="E24" s="204"/>
      <c r="F24" s="231" t="s">
        <v>45</v>
      </c>
      <c r="G24" s="231">
        <f>IF($L$2="Old Tax Regime",'Deduction '!F7,"")</f>
        <v>0.0</v>
      </c>
      <c r="H24" s="230" t="s">
        <v>86</v>
      </c>
      <c r="I24" s="204" t="s">
        <v>87</v>
      </c>
      <c r="J24" s="204"/>
      <c r="K24" s="204"/>
      <c r="L24" s="231" t="s">
        <v>45</v>
      </c>
      <c r="M24" s="231">
        <f>IF('Master Sheet'!$E$13="Yes",'Deduction '!K10,"0")</f>
        <v>0.0</v>
      </c>
      <c r="N24" s="233"/>
      <c r="O24" s="234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</row>
    <row r="25" spans="8:8">
      <c r="A25" s="214"/>
      <c r="B25" s="230" t="s">
        <v>88</v>
      </c>
      <c r="C25" s="204" t="s">
        <v>141</v>
      </c>
      <c r="D25" s="204"/>
      <c r="E25" s="204"/>
      <c r="F25" s="231" t="s">
        <v>45</v>
      </c>
      <c r="G25" s="231">
        <f>IF('Master Sheet'!E13="Yes",'Ga55'!$M$27,"")</f>
        <v>47755.0</v>
      </c>
      <c r="H25" s="230" t="s">
        <v>89</v>
      </c>
      <c r="I25" s="204" t="s">
        <v>90</v>
      </c>
      <c r="J25" s="204"/>
      <c r="K25" s="204"/>
      <c r="L25" s="231" t="s">
        <v>45</v>
      </c>
      <c r="M25" s="231">
        <f>IF('Master Sheet'!$E$13="Yes",'Deduction '!K11,"0")</f>
        <v>0.0</v>
      </c>
      <c r="N25" s="233"/>
      <c r="O25" s="234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</row>
    <row r="26" spans="8:8">
      <c r="A26" s="214"/>
      <c r="B26" s="230" t="s">
        <v>91</v>
      </c>
      <c r="C26" s="204" t="s">
        <v>92</v>
      </c>
      <c r="D26" s="204"/>
      <c r="E26" s="204"/>
      <c r="F26" s="231" t="s">
        <v>45</v>
      </c>
      <c r="G26" s="235">
        <f>IF($L$2="Old Tax Regime",'Ga55'!U27,"")</f>
        <v>2100.0</v>
      </c>
      <c r="H26" s="230" t="s">
        <v>93</v>
      </c>
      <c r="I26" s="204" t="s">
        <v>94</v>
      </c>
      <c r="J26" s="204"/>
      <c r="K26" s="204"/>
      <c r="L26" s="231" t="s">
        <v>45</v>
      </c>
      <c r="M26" s="231">
        <f>IF('Master Sheet'!$E$13="Yes",'Deduction '!K13,"0")</f>
        <v>0.0</v>
      </c>
      <c r="N26" s="233"/>
      <c r="O26" s="234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</row>
    <row r="27" spans="8:8">
      <c r="A27" s="214"/>
      <c r="B27" s="230" t="s">
        <v>95</v>
      </c>
      <c r="C27" s="204" t="s">
        <v>96</v>
      </c>
      <c r="D27" s="204"/>
      <c r="E27" s="204"/>
      <c r="F27" s="231" t="s">
        <v>45</v>
      </c>
      <c r="G27" s="235">
        <f>IF($L$2="Old Tax Regime",'Deduction '!F13,"")</f>
        <v>0.0</v>
      </c>
      <c r="H27" s="230" t="s">
        <v>97</v>
      </c>
      <c r="I27" s="204" t="s">
        <v>98</v>
      </c>
      <c r="J27" s="204"/>
      <c r="K27" s="204"/>
      <c r="L27" s="231" t="s">
        <v>45</v>
      </c>
      <c r="M27" s="231">
        <f>IF('Master Sheet'!$E$13="Yes",'Deduction '!K14,"0")</f>
        <v>0.0</v>
      </c>
      <c r="N27" s="233"/>
      <c r="O27" s="234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</row>
    <row r="28" spans="8:8" ht="15.2" customHeight="1">
      <c r="A28" s="214"/>
      <c r="B28" s="230" t="s">
        <v>99</v>
      </c>
      <c r="C28" s="204" t="s">
        <v>100</v>
      </c>
      <c r="D28" s="204"/>
      <c r="E28" s="204"/>
      <c r="F28" s="231" t="s">
        <v>45</v>
      </c>
      <c r="G28" s="235">
        <f>IF($L$2="Old Tax Regime",'Deduction '!F14,"")</f>
        <v>0.0</v>
      </c>
      <c r="H28" s="230" t="s">
        <v>101</v>
      </c>
      <c r="I28" s="204" t="s">
        <v>102</v>
      </c>
      <c r="J28" s="204"/>
      <c r="K28" s="204"/>
      <c r="L28" s="231" t="s">
        <v>45</v>
      </c>
      <c r="M28" s="231">
        <f>IF('Master Sheet'!$E$13="Yes",'Deduction '!K15,"0")</f>
        <v>0.0</v>
      </c>
      <c r="N28" s="233"/>
      <c r="O28" s="234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</row>
    <row r="29" spans="8:8">
      <c r="A29" s="214"/>
      <c r="B29" s="230" t="s">
        <v>103</v>
      </c>
      <c r="C29" s="204" t="s">
        <v>104</v>
      </c>
      <c r="D29" s="204"/>
      <c r="E29" s="204"/>
      <c r="F29" s="231" t="s">
        <v>45</v>
      </c>
      <c r="G29" s="231">
        <f>IF('Master Sheet'!E13="Yes",'Deduction '!F15,"")</f>
        <v>0.0</v>
      </c>
      <c r="H29" s="230" t="s">
        <v>105</v>
      </c>
      <c r="I29" s="204" t="s">
        <v>106</v>
      </c>
      <c r="J29" s="204"/>
      <c r="K29" s="204"/>
      <c r="L29" s="231" t="s">
        <v>45</v>
      </c>
      <c r="M29" s="231">
        <f>IF('Master Sheet'!$E$13="Yes",'Deduction '!K16,"0")</f>
        <v>0.0</v>
      </c>
      <c r="N29" s="233"/>
      <c r="O29" s="234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</row>
    <row r="30" spans="8:8">
      <c r="A30" s="214"/>
      <c r="B30" s="230" t="s">
        <v>107</v>
      </c>
      <c r="C30" s="204" t="s">
        <v>108</v>
      </c>
      <c r="D30" s="204"/>
      <c r="E30" s="204"/>
      <c r="F30" s="231" t="s">
        <v>45</v>
      </c>
      <c r="G30" s="231">
        <f>IF($L$2="Old Tax Regime",'Deduction '!F16,"")</f>
        <v>0.0</v>
      </c>
      <c r="H30" s="236" t="s">
        <v>109</v>
      </c>
      <c r="I30" s="236"/>
      <c r="J30" s="236"/>
      <c r="K30" s="236"/>
      <c r="L30" s="231" t="s">
        <v>45</v>
      </c>
      <c r="M30" s="231">
        <f>SUM(G20:G30)+SUM(M20:M29)</f>
        <v>109855.0</v>
      </c>
      <c r="N30" s="233"/>
      <c r="O30" s="234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</row>
    <row r="31" spans="8:8">
      <c r="A31" s="214"/>
      <c r="B31" s="219" t="s">
        <v>110</v>
      </c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01" t="s">
        <v>45</v>
      </c>
      <c r="O31" s="202">
        <f>IF(M30&gt;=150000,150000,M30)</f>
        <v>109855.0</v>
      </c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</row>
    <row r="32" spans="8:8" ht="23.85" customHeight="1">
      <c r="A32" s="214"/>
      <c r="B32" s="237" t="s">
        <v>111</v>
      </c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01" t="s">
        <v>45</v>
      </c>
      <c r="O32" s="202">
        <v>0.0</v>
      </c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</row>
    <row r="33" spans="8:8" ht="15.75" customHeight="1">
      <c r="A33" s="214"/>
      <c r="B33" s="232" t="s">
        <v>112</v>
      </c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01" t="s">
        <v>45</v>
      </c>
      <c r="O33" s="238">
        <v>0.0</v>
      </c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</row>
    <row r="34" spans="8:8" ht="20.25" customHeight="1">
      <c r="A34" s="214"/>
      <c r="B34" s="219" t="s">
        <v>113</v>
      </c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01" t="s">
        <v>45</v>
      </c>
      <c r="O34" s="202">
        <f>O32+O33</f>
        <v>0.0</v>
      </c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</row>
    <row r="35" spans="8:8">
      <c r="A35" s="214">
        <v>12.0</v>
      </c>
      <c r="B35" s="226" t="s">
        <v>114</v>
      </c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7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</row>
    <row r="36" spans="8:8">
      <c r="A36" s="214"/>
      <c r="B36" s="204" t="s">
        <v>115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31" t="s">
        <v>45</v>
      </c>
      <c r="O36" s="202">
        <f>IF('Master Sheet'!$E$13="Yes",'Deduction '!K17,"0")</f>
        <v>0.0</v>
      </c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</row>
    <row r="37" spans="8:8">
      <c r="A37" s="214"/>
      <c r="B37" s="204" t="s">
        <v>116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31" t="s">
        <v>45</v>
      </c>
      <c r="O37" s="202">
        <f>IF('Master Sheet'!$E$13="Yes",'Deduction '!K18,"0")</f>
        <v>0.0</v>
      </c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</row>
    <row r="38" spans="8:8">
      <c r="A38" s="214"/>
      <c r="B38" s="204" t="s">
        <v>117</v>
      </c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31" t="s">
        <v>45</v>
      </c>
      <c r="O38" s="202">
        <f>IF('Master Sheet'!$E$13="Yes",'Deduction '!K19,"0")</f>
        <v>0.0</v>
      </c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</row>
    <row r="39" spans="8:8">
      <c r="A39" s="214"/>
      <c r="B39" s="204" t="s">
        <v>118</v>
      </c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31" t="s">
        <v>45</v>
      </c>
      <c r="O39" s="202">
        <f>IF('Master Sheet'!$E$13="Yes",'Deduction '!K20,"0")</f>
        <v>0.0</v>
      </c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</row>
    <row r="40" spans="8:8">
      <c r="A40" s="214"/>
      <c r="B40" s="204" t="s">
        <v>119</v>
      </c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31" t="s">
        <v>45</v>
      </c>
      <c r="O40" s="202">
        <f>IF('Master Sheet'!$E$13="Yes",'Deduction '!K21,"0")</f>
        <v>0.0</v>
      </c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</row>
    <row r="41" spans="8:8">
      <c r="A41" s="214"/>
      <c r="B41" s="204" t="s">
        <v>120</v>
      </c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31" t="s">
        <v>45</v>
      </c>
      <c r="O41" s="202">
        <f>IF('Master Sheet'!$E$13="Yes",'Deduction '!K22,"0")</f>
        <v>0.0</v>
      </c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</row>
    <row r="42" spans="8:8">
      <c r="A42" s="214"/>
      <c r="B42" s="204" t="s">
        <v>121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31" t="s">
        <v>45</v>
      </c>
      <c r="O42" s="202">
        <f>IF('Master Sheet'!$E$13="Yes",IF('Deduction '!K23&gt;=10000,10000,'Deduction '!K23),"0")</f>
        <v>0.0</v>
      </c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</row>
    <row r="43" spans="8:8" ht="18.0" customHeight="1">
      <c r="A43" s="214"/>
      <c r="B43" s="204" t="s">
        <v>122</v>
      </c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31" t="s">
        <v>45</v>
      </c>
      <c r="O43" s="202">
        <f>IF('Master Sheet'!$E$13="Yes",'Deduction '!K24,"0")</f>
        <v>0.0</v>
      </c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</row>
    <row r="44" spans="8:8">
      <c r="A44" s="214"/>
      <c r="B44" s="219" t="s">
        <v>123</v>
      </c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31" t="s">
        <v>45</v>
      </c>
      <c r="O44" s="202">
        <f>SUM(O36:O43)</f>
        <v>0.0</v>
      </c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</row>
    <row r="45" spans="8:8">
      <c r="A45" s="203">
        <v>13.0</v>
      </c>
      <c r="B45" s="204" t="s">
        <v>124</v>
      </c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31" t="s">
        <v>45</v>
      </c>
      <c r="O45" s="202">
        <f>O31+O44</f>
        <v>109855.0</v>
      </c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</row>
    <row r="46" spans="8:8">
      <c r="A46" s="203">
        <v>14.0</v>
      </c>
      <c r="B46" s="204" t="s">
        <v>125</v>
      </c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31" t="s">
        <v>45</v>
      </c>
      <c r="O46" s="202">
        <f>O17-O45</f>
        <v>920486.0</v>
      </c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</row>
    <row r="47" spans="8:8" ht="24.75" customHeight="1">
      <c r="A47" s="203">
        <v>15.0</v>
      </c>
      <c r="B47" s="204" t="s">
        <v>126</v>
      </c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31" t="s">
        <v>45</v>
      </c>
      <c r="O47" s="202">
        <f>ROUND(O46,-1)</f>
        <v>920490.0</v>
      </c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</row>
    <row r="48" spans="8:8">
      <c r="A48" s="214">
        <v>16.0</v>
      </c>
      <c r="B48" s="228" t="s">
        <v>127</v>
      </c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9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</row>
    <row r="49" spans="8:8">
      <c r="A49" s="214"/>
      <c r="B49" s="222" t="s">
        <v>128</v>
      </c>
      <c r="C49" s="222"/>
      <c r="D49" s="222"/>
      <c r="E49" s="222"/>
      <c r="F49" s="222" t="s">
        <v>129</v>
      </c>
      <c r="G49" s="222"/>
      <c r="H49" s="222"/>
      <c r="I49" s="222"/>
      <c r="J49" s="222" t="s">
        <v>130</v>
      </c>
      <c r="K49" s="222"/>
      <c r="L49" s="222"/>
      <c r="M49" s="222"/>
      <c r="N49" s="240"/>
      <c r="O49" s="241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</row>
    <row r="50" spans="8:8">
      <c r="A50" s="214"/>
      <c r="B50" s="220" t="str">
        <f>IF('Master Sheet'!$E$13="Yes","up to Rs 2,50,000","Up to Rs 4,00,000")</f>
        <v>up to Rs 2,50,000</v>
      </c>
      <c r="C50" s="220"/>
      <c r="D50" s="220"/>
      <c r="E50" s="242">
        <v>0.0</v>
      </c>
      <c r="F50" s="243" t="str">
        <f>IF('Master Sheet'!$E$13="Yes","up to Rs 2,50,000","Up to Rs 4,00,000")</f>
        <v>up to Rs 2,50,000</v>
      </c>
      <c r="G50" s="220"/>
      <c r="H50" s="220"/>
      <c r="I50" s="242">
        <v>0.0</v>
      </c>
      <c r="J50" s="244" t="str">
        <f>IF('Master Sheet'!$E$13="Yes",""," Up to Rs.3,00,000")</f>
        <v/>
      </c>
      <c r="K50" s="244"/>
      <c r="L50" s="244"/>
      <c r="M50" s="242">
        <v>0.0</v>
      </c>
      <c r="N50" s="201" t="s">
        <v>45</v>
      </c>
      <c r="O50" s="202">
        <v>0.0</v>
      </c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</row>
    <row r="51" spans="8:8">
      <c r="A51" s="214"/>
      <c r="B51" s="220" t="str">
        <f>IF('Master Sheet'!$E$13="Yes","2,50,001 to 5,00,000","4,00,001 to 8,00,000")</f>
        <v>2,50,001 to 5,00,000</v>
      </c>
      <c r="C51" s="220"/>
      <c r="D51" s="220"/>
      <c r="E51" s="242">
        <v>0.05</v>
      </c>
      <c r="F51" s="220" t="str">
        <f>IF('Master Sheet'!$E$13="Yes","2,50,001 to 5,00,000","4,00,001 to 8,00,000")</f>
        <v>2,50,001 to 5,00,000</v>
      </c>
      <c r="G51" s="220"/>
      <c r="H51" s="220"/>
      <c r="I51" s="242">
        <v>0.05</v>
      </c>
      <c r="J51" s="220" t="str">
        <f>IF('Master Sheet'!$E$13="Yes","Up to 5,00,000","3,00,001 to 7,00,000")</f>
        <v>Up to 5,00,000</v>
      </c>
      <c r="K51" s="220"/>
      <c r="L51" s="220"/>
      <c r="M51" s="224" t="str">
        <f>IF('Master Sheet'!$E$13="Yes","0%","5%")</f>
        <v>0%</v>
      </c>
      <c r="N51" s="201" t="s">
        <v>45</v>
      </c>
      <c r="O51" s="245">
        <f>IF('Master Sheet'!E13="yes",ROUND(IF(O47&lt;=250000,0,IF(O47&gt;=500000,12500,IF(O47&lt;=50000,0+(O47-250000)*0.05))),0),ROUND(IF(O47&lt;400001,0,IF(O47&gt;800000,20000,((O47-400000)*0.05))),0))</f>
        <v>12500.0</v>
      </c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</row>
    <row r="52" spans="8:8">
      <c r="A52" s="214"/>
      <c r="B52" s="220" t="str">
        <f>IF('Master Sheet'!$E$13="Yes","5,00,001 to 10,00,000","8,00,001 to 12,00,000")</f>
        <v>5,00,001 to 10,00,000</v>
      </c>
      <c r="C52" s="220"/>
      <c r="D52" s="220"/>
      <c r="E52" s="242" t="str">
        <f>IF('Master Sheet'!$E$13="Yes","20%","10%")</f>
        <v>20%</v>
      </c>
      <c r="F52" s="220" t="str">
        <f>IF('Master Sheet'!$E$13="Yes","5,00,001 to 10,00,000","8,00,001 to 12,00,000")</f>
        <v>5,00,001 to 10,00,000</v>
      </c>
      <c r="G52" s="220"/>
      <c r="H52" s="220"/>
      <c r="I52" s="242" t="str">
        <f>IF('Master Sheet'!$E$13="Yes","20%","10%")</f>
        <v>20%</v>
      </c>
      <c r="J52" s="220" t="str">
        <f>IF('Master Sheet'!$E$13="Yes","5,00,000 to 10,00,000","7,00,001 to 10,00,000")</f>
        <v>5,00,000 to 10,00,000</v>
      </c>
      <c r="K52" s="220"/>
      <c r="L52" s="220"/>
      <c r="M52" s="242" t="str">
        <f>IF('Master Sheet'!$E$13="Yes","20%","10%")</f>
        <v>20%</v>
      </c>
      <c r="N52" s="246" t="s">
        <v>45</v>
      </c>
      <c r="O52" s="247">
        <f>IF('Master Sheet'!E13="Yes",ROUND(IF(O47&lt;=500000,0,IF(O47&gt;=1000000,100000,IF(O47&lt;=1000000,(O47-500000)*0.2,"0"))),0),ROUND(IF(O47&lt;800001,0,IF(O47&gt;1200000,40000,((O47-800000)*0.1))),0))</f>
        <v>84098.0</v>
      </c>
      <c r="P52" s="248"/>
      <c r="Q52" s="248"/>
      <c r="R52" s="248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</row>
    <row r="53" spans="8:8">
      <c r="A53" s="214"/>
      <c r="B53" s="220" t="str">
        <f>IF('Master Sheet'!$E$13="Yes","above 10,00,000","12,00,001 to 16,00,000")</f>
        <v>above 10,00,000</v>
      </c>
      <c r="C53" s="220"/>
      <c r="D53" s="220"/>
      <c r="E53" s="242" t="str">
        <f>IF('Master Sheet'!$E$13="Yes","30%","15%")</f>
        <v>30%</v>
      </c>
      <c r="F53" s="220" t="str">
        <f>IF('Master Sheet'!$E$13="Yes","above 10,00,000","12,00,001to 16,00,000")</f>
        <v>above 10,00,000</v>
      </c>
      <c r="G53" s="220"/>
      <c r="H53" s="220"/>
      <c r="I53" s="242" t="str">
        <f>IF('Master Sheet'!$E$13="Yes","30%","15%")</f>
        <v>30%</v>
      </c>
      <c r="J53" s="220" t="str">
        <f>IF('Master Sheet'!$E$13="Yes","above 10,00,000","10,00,001 to 12,00,000")</f>
        <v>above 10,00,000</v>
      </c>
      <c r="K53" s="220"/>
      <c r="L53" s="220"/>
      <c r="M53" s="242" t="str">
        <f>IF('Master Sheet'!$E$13="Yes","30%","15%")</f>
        <v>30%</v>
      </c>
      <c r="N53" s="246" t="s">
        <v>45</v>
      </c>
      <c r="O53" s="247">
        <f>IF('Master Sheet'!$E$13="Yes",ROUND(IF(O47&gt;1000000,(O47-1000000)*0.3,"0"),0),ROUND(IF(O47&lt;1200001,0,IF(O47&gt;1600000,60000,((O47-1200000)*0.15))),0))</f>
        <v>0.0</v>
      </c>
      <c r="P53" s="249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</row>
    <row r="54" spans="8:8">
      <c r="A54" s="214"/>
      <c r="B54" s="220" t="str">
        <f>IF('Master Sheet'!$E$13="Yes","","16,00,001 to 20,00,000")</f>
        <v/>
      </c>
      <c r="C54" s="220"/>
      <c r="D54" s="220"/>
      <c r="E54" s="242" t="str">
        <f>IF('Master Sheet'!$E$13="Yes","","20%")</f>
        <v/>
      </c>
      <c r="F54" s="220" t="str">
        <f>IF('Master Sheet'!$E$13="Yes","","16,00,001 to 20,00,000")</f>
        <v/>
      </c>
      <c r="G54" s="220"/>
      <c r="H54" s="220"/>
      <c r="I54" s="242" t="str">
        <f>IF('Master Sheet'!$E$13="Yes","","20%")</f>
        <v/>
      </c>
      <c r="J54" s="220" t="str">
        <f>IF('Master Sheet'!$E$13="Yes","","12,00,001 to 15,00,000")</f>
        <v/>
      </c>
      <c r="K54" s="220"/>
      <c r="L54" s="220"/>
      <c r="M54" s="242" t="str">
        <f>IF('Master Sheet'!$E$13="Yes","","20%")</f>
        <v/>
      </c>
      <c r="N54" s="246" t="s">
        <v>45</v>
      </c>
      <c r="O54" s="250" t="str">
        <f>IF('Master Sheet'!$E$13="Yes","0",ROUND(IF(O47&lt;1600001,0,IF(O47&gt;2000000,80000,((O47-1600000)*0.2))),0))</f>
        <v>0</v>
      </c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</row>
    <row r="55" spans="8:8">
      <c r="A55" s="214"/>
      <c r="B55" s="251" t="str">
        <f>IF('Master Sheet'!$E$13="Yes","","20,00,001 to 24,00,000")</f>
        <v/>
      </c>
      <c r="C55" s="251"/>
      <c r="D55" s="251"/>
      <c r="E55" s="252" t="str">
        <f>IF('Master Sheet'!$E$13="Yes","","25%")</f>
        <v/>
      </c>
      <c r="F55" s="251" t="str">
        <f>IF('Master Sheet'!$E$13="Yes","","20,00,001 to 24,00,000")</f>
        <v/>
      </c>
      <c r="G55" s="251"/>
      <c r="H55" s="251"/>
      <c r="I55" s="252" t="str">
        <f>IF('Master Sheet'!$E$13="Yes","","25%")</f>
        <v/>
      </c>
      <c r="J55" s="251" t="str">
        <f>IF('Master Sheet'!$E$13="Yes","","above 15,00,000")</f>
        <v/>
      </c>
      <c r="K55" s="251"/>
      <c r="L55" s="251"/>
      <c r="M55" s="252" t="str">
        <f>IF('Master Sheet'!$E$13="Yes","","30%")</f>
        <v/>
      </c>
      <c r="N55" s="253" t="s">
        <v>45</v>
      </c>
      <c r="O55" s="254" t="str">
        <f>IF('Master Sheet'!$E$13="Yes","0",ROUND(IF(O47&lt;2000001,0,IF(O47&gt;2400000,10000,((O47-2000000)*0.25))),0))</f>
        <v>0</v>
      </c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</row>
    <row r="56" spans="8:8">
      <c r="A56" s="255"/>
      <c r="B56" s="251" t="str">
        <f>IF('Master Sheet'!$E$13="Yes","","above 24,00,000")</f>
        <v/>
      </c>
      <c r="C56" s="251"/>
      <c r="D56" s="251"/>
      <c r="E56" s="252" t="str">
        <f>IF('Master Sheet'!$E$13="Yes","","30%")</f>
        <v/>
      </c>
      <c r="F56" s="251" t="str">
        <f>IF('Master Sheet'!$E$13="Yes","","above 24,00,000")</f>
        <v/>
      </c>
      <c r="G56" s="251"/>
      <c r="H56" s="251"/>
      <c r="I56" s="252" t="str">
        <f>IF('Master Sheet'!$E$13="Yes","","30%")</f>
        <v/>
      </c>
      <c r="J56" s="256"/>
      <c r="K56" s="257"/>
      <c r="L56" s="258"/>
      <c r="M56" s="259"/>
      <c r="N56" s="259"/>
      <c r="O56" s="254" t="str">
        <f>IF('Master Sheet'!$E$13="Yes","0",ROUND(IF(O47&lt;2400001,0,(O47-2400000)*0.3),0))</f>
        <v>0</v>
      </c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</row>
    <row r="57" spans="8:8">
      <c r="A57" s="214"/>
      <c r="B57" s="260" t="s">
        <v>131</v>
      </c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1" t="s">
        <v>45</v>
      </c>
      <c r="O57" s="262">
        <f>_xlfn.IFERROR(SUM(O51+O52+O53+O54+O55),"")</f>
        <v>96598.0</v>
      </c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185"/>
      <c r="AC57" s="185"/>
      <c r="AD57" s="185"/>
      <c r="AE57" s="185"/>
      <c r="AF57" s="185"/>
      <c r="AG57" s="185"/>
      <c r="AH57" s="185"/>
    </row>
    <row r="58" spans="8:8">
      <c r="A58" s="214"/>
      <c r="B58" s="264" t="str">
        <f>IF('Master Sheet'!E13="Yes","(2) छुट धारा 87(A)  (5 लाख की कर योग्य आय पर आयकर की छुट अधिकतम रु. 12500/- तक)","(2) छुट धारा 87(A)  (7लाख की कर योग्य आय पर आयकर की छुट अधिकतम रु. 25000/- तक/Margin relief benifit under section 115BAC(1))")</f>
        <v>(2) छुट धारा 87(A)  (5 लाख की कर योग्य आय पर आयकर की छुट अधिकतम रु. 12500/- तक)</v>
      </c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46" t="s">
        <v>45</v>
      </c>
      <c r="O58" s="265">
        <f>IF('Master Sheet'!E13="Yes",IF(O47&gt;500000,0,IF(O57&lt;12500,O57,12500)),IF(O47&gt;1200000,0,IF(O57&lt;60000,O57,60000)))</f>
        <v>0.0</v>
      </c>
      <c r="P58" s="266">
        <f>IF(AND(O47&gt;700000,O47&lt;727777),O47-700000,0)</f>
        <v>0.0</v>
      </c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</row>
    <row r="59" spans="8:8">
      <c r="A59" s="214"/>
      <c r="B59" s="264" t="s">
        <v>132</v>
      </c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01" t="s">
        <v>45</v>
      </c>
      <c r="O59" s="267">
        <f>O57-O58</f>
        <v>96598.0</v>
      </c>
      <c r="P59" s="266">
        <f>O57-P58</f>
        <v>96598.0</v>
      </c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</row>
    <row r="60" spans="8:8">
      <c r="A60" s="214"/>
      <c r="B60" s="268" t="s">
        <v>133</v>
      </c>
      <c r="C60" s="264" t="s">
        <v>134</v>
      </c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01" t="s">
        <v>45</v>
      </c>
      <c r="O60" s="269">
        <f>ROUND(O59*4%,0)</f>
        <v>3864.0</v>
      </c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</row>
    <row r="61" spans="8:8">
      <c r="A61" s="214"/>
      <c r="B61" s="270" t="s">
        <v>135</v>
      </c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01" t="s">
        <v>45</v>
      </c>
      <c r="O61" s="269">
        <f>O59+O60</f>
        <v>100462.0</v>
      </c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</row>
    <row r="62" spans="8:8">
      <c r="A62" s="203">
        <v>17.0</v>
      </c>
      <c r="B62" s="200" t="s">
        <v>136</v>
      </c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1" t="s">
        <v>45</v>
      </c>
      <c r="O62" s="269">
        <v>0.0</v>
      </c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</row>
    <row r="63" spans="8:8" ht="19.5" customHeight="1">
      <c r="A63" s="203">
        <v>18.0</v>
      </c>
      <c r="B63" s="200" t="s">
        <v>137</v>
      </c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1" t="s">
        <v>45</v>
      </c>
      <c r="O63" s="269">
        <f>O61-O62</f>
        <v>100462.0</v>
      </c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</row>
    <row r="64" spans="8:8" ht="30.4">
      <c r="A64" s="214">
        <v>19.0</v>
      </c>
      <c r="B64" s="271" t="s">
        <v>138</v>
      </c>
      <c r="C64" s="271"/>
      <c r="D64" s="271"/>
      <c r="E64" s="271" t="s">
        <v>202</v>
      </c>
      <c r="F64" s="271"/>
      <c r="G64" s="271"/>
      <c r="H64" s="271" t="s">
        <v>203</v>
      </c>
      <c r="I64" s="271"/>
      <c r="J64" s="272" t="s">
        <v>204</v>
      </c>
      <c r="K64" s="271" t="s">
        <v>205</v>
      </c>
      <c r="L64" s="271"/>
      <c r="M64" s="271" t="s">
        <v>139</v>
      </c>
      <c r="N64" s="271"/>
      <c r="O64" s="273" t="s">
        <v>140</v>
      </c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</row>
    <row r="65" spans="8:8">
      <c r="A65" s="214"/>
      <c r="B65" s="271"/>
      <c r="C65" s="271"/>
      <c r="D65" s="271"/>
      <c r="E65" s="215">
        <f>SUM('Ga55'!T6:T12)</f>
        <v>0.0</v>
      </c>
      <c r="F65" s="215"/>
      <c r="G65" s="215"/>
      <c r="H65" s="215">
        <f>SUM('Ga55'!T13:T15)</f>
        <v>0.0</v>
      </c>
      <c r="I65" s="215"/>
      <c r="J65" s="274">
        <f>'Ga55'!T16</f>
        <v>0.0</v>
      </c>
      <c r="K65" s="275">
        <f>'Ga55'!T17</f>
        <v>0.0</v>
      </c>
      <c r="L65" s="275"/>
      <c r="M65" s="215">
        <f>SUM('Ga55'!T19:T26)</f>
        <v>0.0</v>
      </c>
      <c r="N65" s="215"/>
      <c r="O65" s="276">
        <f>SUM(E65:N65)</f>
        <v>0.0</v>
      </c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</row>
    <row r="66" spans="8:8" ht="29.25" customHeight="1">
      <c r="A66" s="277" t="str">
        <f>IF(O63&gt;O65,"Income Tax Payable","Income Tax Refundable")</f>
        <v>Income Tax Payable</v>
      </c>
      <c r="B66" s="278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9" t="s">
        <v>45</v>
      </c>
      <c r="O66" s="280">
        <f>IF(O63&gt;O65,SUM(O63-O65),SUM(O65-O63))</f>
        <v>100462.0</v>
      </c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</row>
    <row r="67" spans="8:8">
      <c r="A67" s="281"/>
      <c r="B67" s="282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3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</row>
    <row r="68" spans="8:8">
      <c r="A68" s="284"/>
      <c r="B68" s="285"/>
      <c r="C68" s="285"/>
      <c r="D68" s="286"/>
      <c r="E68" s="285"/>
      <c r="F68" s="285"/>
      <c r="G68" s="285"/>
      <c r="H68" s="285"/>
      <c r="I68" s="285"/>
      <c r="J68" s="285"/>
      <c r="K68" s="285"/>
      <c r="L68" s="287" t="s">
        <v>142</v>
      </c>
      <c r="M68" s="287"/>
      <c r="N68" s="287"/>
      <c r="O68" s="288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</row>
    <row r="69" spans="8:8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</row>
    <row r="70" spans="8:8">
      <c r="O70" s="289"/>
    </row>
    <row r="71" spans="8:8">
      <c r="O71" s="289"/>
    </row>
    <row r="72" spans="8:8">
      <c r="O72" s="289"/>
    </row>
    <row r="73" spans="8:8">
      <c r="O73" s="289"/>
    </row>
    <row r="74" spans="8:8">
      <c r="O74" s="289"/>
    </row>
    <row r="75" spans="8:8">
      <c r="O75" s="289"/>
    </row>
    <row r="76" spans="8:8">
      <c r="O76" s="289"/>
    </row>
    <row r="77" spans="8:8">
      <c r="O77" s="289"/>
    </row>
    <row r="78" spans="8:8">
      <c r="O78" s="289"/>
    </row>
    <row r="79" spans="8:8">
      <c r="O79" s="289"/>
    </row>
    <row r="80" spans="8:8">
      <c r="O80" s="289"/>
    </row>
    <row r="81" spans="8:8">
      <c r="O81" s="289"/>
    </row>
    <row r="82" spans="8:8">
      <c r="O82" s="289"/>
    </row>
    <row r="83" spans="8:8">
      <c r="O83" s="289"/>
    </row>
    <row r="84" spans="8:8">
      <c r="O84" s="289"/>
    </row>
    <row r="85" spans="8:8">
      <c r="O85" s="289"/>
    </row>
    <row r="86" spans="8:8">
      <c r="O86" s="289"/>
    </row>
    <row r="87" spans="8:8">
      <c r="O87" s="289"/>
    </row>
    <row r="88" spans="8:8">
      <c r="O88" s="289"/>
    </row>
    <row r="89" spans="8:8">
      <c r="O89" s="289"/>
    </row>
    <row r="90" spans="8:8">
      <c r="O90" s="289"/>
    </row>
    <row r="91" spans="8:8">
      <c r="O91" s="289"/>
    </row>
    <row r="92" spans="8:8">
      <c r="O92" s="289"/>
    </row>
    <row r="93" spans="8:8">
      <c r="O93" s="289"/>
    </row>
    <row r="94" spans="8:8">
      <c r="O94" s="289"/>
    </row>
    <row r="95" spans="8:8">
      <c r="O95" s="289"/>
    </row>
    <row r="96" spans="8:8">
      <c r="O96" s="289"/>
    </row>
    <row r="97" spans="8:8">
      <c r="O97" s="289"/>
    </row>
    <row r="98" spans="8:8">
      <c r="O98" s="289"/>
    </row>
    <row r="99" spans="8:8">
      <c r="O99" s="289"/>
    </row>
    <row r="100" spans="8:8">
      <c r="O100" s="289"/>
    </row>
    <row r="101" spans="8:8">
      <c r="O101" s="289"/>
    </row>
    <row r="102" spans="8:8">
      <c r="O102" s="289"/>
    </row>
    <row r="103" spans="8:8">
      <c r="O103" s="289"/>
    </row>
    <row r="104" spans="8:8">
      <c r="O104" s="289"/>
    </row>
    <row r="105" spans="8:8">
      <c r="O105" s="289"/>
    </row>
    <row r="106" spans="8:8">
      <c r="O106" s="289"/>
    </row>
    <row r="107" spans="8:8">
      <c r="O107" s="289"/>
    </row>
    <row r="108" spans="8:8">
      <c r="O108" s="289"/>
    </row>
    <row r="109" spans="8:8">
      <c r="O109" s="289"/>
    </row>
    <row r="110" spans="8:8">
      <c r="O110" s="289"/>
    </row>
    <row r="111" spans="8:8">
      <c r="O111" s="289"/>
    </row>
    <row r="112" spans="8:8">
      <c r="O112" s="289"/>
    </row>
    <row r="113" spans="8:8">
      <c r="O113" s="289"/>
    </row>
    <row r="114" spans="8:8">
      <c r="O114" s="289"/>
    </row>
    <row r="115" spans="8:8">
      <c r="O115" s="289"/>
    </row>
    <row r="116" spans="8:8">
      <c r="O116" s="289"/>
    </row>
    <row r="117" spans="8:8">
      <c r="O117" s="289"/>
    </row>
    <row r="118" spans="8:8">
      <c r="O118" s="289"/>
    </row>
    <row r="119" spans="8:8">
      <c r="O119" s="289"/>
    </row>
    <row r="120" spans="8:8">
      <c r="O120" s="289"/>
    </row>
    <row r="121" spans="8:8">
      <c r="O121" s="289"/>
    </row>
    <row r="122" spans="8:8">
      <c r="O122" s="289"/>
    </row>
    <row r="123" spans="8:8">
      <c r="O123" s="289"/>
    </row>
    <row r="124" spans="8:8">
      <c r="O124" s="289"/>
    </row>
    <row r="125" spans="8:8">
      <c r="O125" s="289"/>
    </row>
    <row r="126" spans="8:8">
      <c r="O126" s="289"/>
    </row>
    <row r="127" spans="8:8">
      <c r="O127" s="289"/>
    </row>
    <row r="128" spans="8:8">
      <c r="O128" s="289"/>
    </row>
    <row r="129" spans="8:8">
      <c r="O129" s="289"/>
    </row>
    <row r="130" spans="8:8">
      <c r="O130" s="289"/>
    </row>
    <row r="131" spans="8:8">
      <c r="O131" s="289"/>
    </row>
    <row r="132" spans="8:8">
      <c r="O132" s="289"/>
    </row>
    <row r="133" spans="8:8">
      <c r="O133" s="289"/>
    </row>
    <row r="134" spans="8:8">
      <c r="O134" s="289"/>
    </row>
    <row r="135" spans="8:8">
      <c r="O135" s="289"/>
    </row>
    <row r="136" spans="8:8">
      <c r="O136" s="289"/>
    </row>
    <row r="137" spans="8:8">
      <c r="O137" s="289"/>
    </row>
    <row r="138" spans="8:8">
      <c r="O138" s="289"/>
    </row>
    <row r="139" spans="8:8">
      <c r="O139" s="289"/>
    </row>
    <row r="140" spans="8:8">
      <c r="O140" s="289"/>
    </row>
    <row r="141" spans="8:8">
      <c r="O141" s="289"/>
    </row>
    <row r="142" spans="8:8">
      <c r="O142" s="289"/>
    </row>
    <row r="143" spans="8:8">
      <c r="O143" s="289"/>
    </row>
    <row r="144" spans="8:8">
      <c r="O144" s="289"/>
    </row>
    <row r="145" spans="8:8">
      <c r="O145" s="289"/>
    </row>
    <row r="146" spans="8:8">
      <c r="O146" s="289"/>
    </row>
    <row r="147" spans="8:8">
      <c r="O147" s="289"/>
    </row>
    <row r="148" spans="8:8">
      <c r="O148" s="289"/>
    </row>
    <row r="149" spans="8:8">
      <c r="O149" s="289"/>
    </row>
    <row r="150" spans="8:8">
      <c r="O150" s="289"/>
    </row>
    <row r="151" spans="8:8">
      <c r="O151" s="289"/>
    </row>
    <row r="152" spans="8:8">
      <c r="O152" s="289"/>
    </row>
    <row r="153" spans="8:8">
      <c r="O153" s="289"/>
    </row>
    <row r="154" spans="8:8">
      <c r="O154" s="289"/>
    </row>
    <row r="155" spans="8:8">
      <c r="O155" s="289"/>
    </row>
    <row r="156" spans="8:8">
      <c r="O156" s="289"/>
    </row>
    <row r="157" spans="8:8">
      <c r="O157" s="289"/>
    </row>
    <row r="158" spans="8:8">
      <c r="O158" s="289"/>
    </row>
    <row r="159" spans="8:8">
      <c r="O159" s="289"/>
    </row>
    <row r="160" spans="8:8">
      <c r="O160" s="289"/>
    </row>
    <row r="161" spans="8:8">
      <c r="O161" s="289"/>
    </row>
    <row r="162" spans="8:8">
      <c r="O162" s="289"/>
    </row>
    <row r="163" spans="8:8">
      <c r="O163" s="289"/>
    </row>
    <row r="164" spans="8:8">
      <c r="O164" s="289"/>
    </row>
    <row r="165" spans="8:8">
      <c r="O165" s="289"/>
    </row>
    <row r="166" spans="8:8">
      <c r="O166" s="289"/>
    </row>
    <row r="167" spans="8:8">
      <c r="O167" s="289"/>
    </row>
    <row r="168" spans="8:8">
      <c r="O168" s="289"/>
    </row>
    <row r="169" spans="8:8">
      <c r="O169" s="289"/>
    </row>
    <row r="170" spans="8:8">
      <c r="O170" s="289"/>
    </row>
    <row r="171" spans="8:8">
      <c r="O171" s="289"/>
    </row>
    <row r="172" spans="8:8">
      <c r="O172" s="289"/>
    </row>
    <row r="173" spans="8:8">
      <c r="O173" s="289"/>
    </row>
    <row r="174" spans="8:8">
      <c r="O174" s="289"/>
    </row>
    <row r="175" spans="8:8">
      <c r="O175" s="289"/>
    </row>
    <row r="176" spans="8:8">
      <c r="O176" s="289"/>
    </row>
    <row r="177" spans="8:8">
      <c r="O177" s="289"/>
    </row>
    <row r="178" spans="8:8">
      <c r="O178" s="289"/>
    </row>
    <row r="179" spans="8:8">
      <c r="O179" s="289"/>
    </row>
    <row r="180" spans="8:8">
      <c r="O180" s="289"/>
    </row>
    <row r="181" spans="8:8">
      <c r="O181" s="289"/>
    </row>
    <row r="182" spans="8:8">
      <c r="O182" s="289"/>
    </row>
    <row r="183" spans="8:8">
      <c r="O183" s="289"/>
    </row>
    <row r="184" spans="8:8">
      <c r="O184" s="289"/>
    </row>
    <row r="185" spans="8:8">
      <c r="O185" s="289"/>
    </row>
    <row r="186" spans="8:8">
      <c r="O186" s="289"/>
    </row>
    <row r="187" spans="8:8">
      <c r="O187" s="289"/>
    </row>
    <row r="188" spans="8:8">
      <c r="O188" s="289"/>
    </row>
    <row r="189" spans="8:8">
      <c r="O189" s="289"/>
    </row>
    <row r="190" spans="8:8">
      <c r="O190" s="289"/>
    </row>
    <row r="191" spans="8:8">
      <c r="O191" s="289"/>
    </row>
    <row r="192" spans="8:8">
      <c r="O192" s="289"/>
    </row>
    <row r="193" spans="8:8">
      <c r="O193" s="289"/>
    </row>
    <row r="194" spans="8:8">
      <c r="O194" s="289"/>
    </row>
    <row r="195" spans="8:8">
      <c r="O195" s="289"/>
    </row>
    <row r="196" spans="8:8">
      <c r="O196" s="289"/>
    </row>
    <row r="197" spans="8:8">
      <c r="O197" s="289"/>
    </row>
    <row r="198" spans="8:8">
      <c r="O198" s="289"/>
    </row>
    <row r="199" spans="8:8">
      <c r="O199" s="289"/>
    </row>
    <row r="200" spans="8:8">
      <c r="O200" s="289"/>
    </row>
    <row r="201" spans="8:8">
      <c r="O201" s="289"/>
    </row>
    <row r="202" spans="8:8">
      <c r="O202" s="289"/>
    </row>
    <row r="203" spans="8:8">
      <c r="O203" s="289"/>
    </row>
    <row r="204" spans="8:8">
      <c r="O204" s="289"/>
    </row>
    <row r="205" spans="8:8">
      <c r="O205" s="289"/>
    </row>
    <row r="206" spans="8:8">
      <c r="O206" s="289"/>
    </row>
    <row r="207" spans="8:8">
      <c r="O207" s="289"/>
    </row>
    <row r="208" spans="8:8">
      <c r="O208" s="289"/>
    </row>
    <row r="209" spans="8:8">
      <c r="O209" s="289"/>
    </row>
    <row r="210" spans="8:8">
      <c r="O210" s="289"/>
    </row>
    <row r="211" spans="8:8">
      <c r="O211" s="289"/>
    </row>
    <row r="212" spans="8:8">
      <c r="O212" s="289"/>
    </row>
    <row r="213" spans="8:8">
      <c r="O213" s="289"/>
    </row>
    <row r="214" spans="8:8">
      <c r="O214" s="289"/>
    </row>
    <row r="215" spans="8:8">
      <c r="O215" s="289"/>
    </row>
    <row r="216" spans="8:8">
      <c r="O216" s="289"/>
    </row>
    <row r="217" spans="8:8">
      <c r="O217" s="289"/>
    </row>
    <row r="218" spans="8:8">
      <c r="O218" s="289"/>
    </row>
    <row r="219" spans="8:8">
      <c r="O219" s="289"/>
    </row>
    <row r="220" spans="8:8">
      <c r="O220" s="289"/>
    </row>
    <row r="221" spans="8:8">
      <c r="O221" s="289"/>
    </row>
    <row r="222" spans="8:8">
      <c r="O222" s="289"/>
    </row>
    <row r="223" spans="8:8">
      <c r="O223" s="289"/>
    </row>
    <row r="224" spans="8:8">
      <c r="O224" s="289"/>
    </row>
    <row r="225" spans="8:8">
      <c r="O225" s="289"/>
    </row>
    <row r="226" spans="8:8">
      <c r="O226" s="289"/>
    </row>
    <row r="227" spans="8:8">
      <c r="O227" s="289"/>
    </row>
    <row r="228" spans="8:8">
      <c r="O228" s="289"/>
    </row>
    <row r="229" spans="8:8">
      <c r="O229" s="289"/>
    </row>
    <row r="230" spans="8:8">
      <c r="O230" s="289"/>
    </row>
    <row r="231" spans="8:8">
      <c r="O231" s="289"/>
    </row>
    <row r="232" spans="8:8">
      <c r="O232" s="289"/>
    </row>
    <row r="233" spans="8:8">
      <c r="O233" s="289"/>
    </row>
    <row r="234" spans="8:8">
      <c r="O234" s="289"/>
    </row>
    <row r="235" spans="8:8">
      <c r="O235" s="289"/>
    </row>
    <row r="236" spans="8:8">
      <c r="O236" s="289"/>
    </row>
    <row r="237" spans="8:8">
      <c r="O237" s="289"/>
    </row>
    <row r="238" spans="8:8">
      <c r="O238" s="289"/>
    </row>
    <row r="239" spans="8:8">
      <c r="O239" s="289"/>
    </row>
    <row r="240" spans="8:8">
      <c r="O240" s="289"/>
    </row>
    <row r="241" spans="8:8">
      <c r="O241" s="289"/>
    </row>
    <row r="242" spans="8:8">
      <c r="O242" s="289"/>
    </row>
    <row r="243" spans="8:8">
      <c r="O243" s="289"/>
    </row>
    <row r="244" spans="8:8">
      <c r="O244" s="289"/>
    </row>
    <row r="245" spans="8:8">
      <c r="O245" s="289"/>
    </row>
    <row r="246" spans="8:8">
      <c r="O246" s="289"/>
    </row>
    <row r="247" spans="8:8">
      <c r="O247" s="289"/>
    </row>
    <row r="248" spans="8:8">
      <c r="O248" s="289"/>
    </row>
    <row r="249" spans="8:8">
      <c r="O249" s="289"/>
    </row>
    <row r="250" spans="8:8">
      <c r="O250" s="289"/>
    </row>
    <row r="251" spans="8:8">
      <c r="O251" s="289"/>
    </row>
    <row r="252" spans="8:8">
      <c r="O252" s="289"/>
    </row>
    <row r="253" spans="8:8">
      <c r="O253" s="289"/>
    </row>
    <row r="254" spans="8:8">
      <c r="O254" s="289"/>
    </row>
    <row r="255" spans="8:8">
      <c r="O255" s="289"/>
    </row>
    <row r="256" spans="8:8">
      <c r="O256" s="289"/>
    </row>
    <row r="257" spans="8:8">
      <c r="O257" s="289"/>
    </row>
    <row r="258" spans="8:8">
      <c r="O258" s="289"/>
    </row>
    <row r="259" spans="8:8">
      <c r="O259" s="289"/>
    </row>
    <row r="260" spans="8:8">
      <c r="O260" s="289"/>
    </row>
    <row r="261" spans="8:8">
      <c r="O261" s="289"/>
    </row>
    <row r="262" spans="8:8">
      <c r="O262" s="289"/>
    </row>
    <row r="263" spans="8:8">
      <c r="O263" s="289"/>
    </row>
    <row r="264" spans="8:8">
      <c r="O264" s="289"/>
    </row>
    <row r="265" spans="8:8">
      <c r="O265" s="289"/>
    </row>
    <row r="266" spans="8:8">
      <c r="O266" s="289"/>
    </row>
    <row r="267" spans="8:8">
      <c r="O267" s="289"/>
    </row>
    <row r="268" spans="8:8">
      <c r="O268" s="289"/>
    </row>
    <row r="269" spans="8:8">
      <c r="O269" s="289"/>
    </row>
    <row r="270" spans="8:8">
      <c r="O270" s="289"/>
    </row>
    <row r="271" spans="8:8">
      <c r="O271" s="289"/>
    </row>
    <row r="272" spans="8:8">
      <c r="O272" s="289"/>
    </row>
    <row r="273" spans="8:8">
      <c r="O273" s="289"/>
    </row>
    <row r="274" spans="8:8">
      <c r="O274" s="289"/>
    </row>
    <row r="275" spans="8:8">
      <c r="O275" s="289"/>
    </row>
    <row r="276" spans="8:8">
      <c r="O276" s="289"/>
    </row>
    <row r="277" spans="8:8">
      <c r="O277" s="289"/>
    </row>
    <row r="278" spans="8:8">
      <c r="O278" s="289"/>
    </row>
    <row r="279" spans="8:8">
      <c r="O279" s="289"/>
    </row>
    <row r="280" spans="8:8">
      <c r="O280" s="289"/>
    </row>
    <row r="281" spans="8:8">
      <c r="O281" s="289"/>
    </row>
  </sheetData>
  <sheetProtection algorithmName="SHA-512" hashValue="MIBQvbe0czXvScWyIzKkqkRY6Af2AoRewbxoB4Noin31rtr+0x9VgiPNoJjjnOogSJGbcmAszUNyU94oN5TL/g==" saltValue="YkYhGRU3qoMzbKivmTBKIg==" spinCount="100000" sheet="1" objects="1" scenarios="1" formatCells="0" formatColumns="0" formatRows="0"/>
  <mergeCells count="138">
    <mergeCell ref="P57:AA57"/>
    <mergeCell ref="B51:D51"/>
    <mergeCell ref="E65:G65"/>
    <mergeCell ref="B44:M44"/>
    <mergeCell ref="H64:I64"/>
    <mergeCell ref="P52:R52"/>
    <mergeCell ref="B64:D65"/>
    <mergeCell ref="L68:N68"/>
    <mergeCell ref="A66:M66"/>
    <mergeCell ref="I27:K27"/>
    <mergeCell ref="L2:O2"/>
    <mergeCell ref="B16:D16"/>
    <mergeCell ref="A1:D1"/>
    <mergeCell ref="N3:O3"/>
    <mergeCell ref="B61:M61"/>
    <mergeCell ref="I26:K26"/>
    <mergeCell ref="B48:O48"/>
    <mergeCell ref="B62:M62"/>
    <mergeCell ref="I29:K29"/>
    <mergeCell ref="C29:E29"/>
    <mergeCell ref="C27:E27"/>
    <mergeCell ref="B36:M36"/>
    <mergeCell ref="B18:O18"/>
    <mergeCell ref="N11:O13"/>
    <mergeCell ref="A64:A65"/>
    <mergeCell ref="I23:K23"/>
    <mergeCell ref="B41:M41"/>
    <mergeCell ref="I22:K22"/>
    <mergeCell ref="A11:A13"/>
    <mergeCell ref="C26:E26"/>
    <mergeCell ref="K13:M13"/>
    <mergeCell ref="D3:H3"/>
    <mergeCell ref="B12:C13"/>
    <mergeCell ref="B19:O19"/>
    <mergeCell ref="B35:O35"/>
    <mergeCell ref="B57:M57"/>
    <mergeCell ref="B43:M43"/>
    <mergeCell ref="E64:G64"/>
    <mergeCell ref="F56:H56"/>
    <mergeCell ref="J56:L56"/>
    <mergeCell ref="B47:M47"/>
    <mergeCell ref="B55:D55"/>
    <mergeCell ref="J3:L3"/>
    <mergeCell ref="F53:H53"/>
    <mergeCell ref="J54:L54"/>
    <mergeCell ref="F50:H50"/>
    <mergeCell ref="J51:L51"/>
    <mergeCell ref="B10:M10"/>
    <mergeCell ref="E1:O1"/>
    <mergeCell ref="B63:M63"/>
    <mergeCell ref="K65:L65"/>
    <mergeCell ref="B17:M17"/>
    <mergeCell ref="C60:M60"/>
    <mergeCell ref="B6:M6"/>
    <mergeCell ref="A2:D2"/>
    <mergeCell ref="E2:G2"/>
    <mergeCell ref="J2:K2"/>
    <mergeCell ref="B52:D52"/>
    <mergeCell ref="B37:M37"/>
    <mergeCell ref="F55:H55"/>
    <mergeCell ref="F49:I49"/>
    <mergeCell ref="J50:L50"/>
    <mergeCell ref="N7:O8"/>
    <mergeCell ref="F54:H54"/>
    <mergeCell ref="B3:C3"/>
    <mergeCell ref="K7:M7"/>
    <mergeCell ref="M65:N65"/>
    <mergeCell ref="A35:A44"/>
    <mergeCell ref="I25:K25"/>
    <mergeCell ref="B56:D56"/>
    <mergeCell ref="J15:M15"/>
    <mergeCell ref="I12:J12"/>
    <mergeCell ref="A48:A61"/>
    <mergeCell ref="K64:L64"/>
    <mergeCell ref="H65:I65"/>
    <mergeCell ref="I28:K28"/>
    <mergeCell ref="B49:E49"/>
    <mergeCell ref="J53:L53"/>
    <mergeCell ref="B42:M42"/>
    <mergeCell ref="B4:M4"/>
    <mergeCell ref="B59:M59"/>
    <mergeCell ref="B45:M45"/>
    <mergeCell ref="I11:J11"/>
    <mergeCell ref="F52:H52"/>
    <mergeCell ref="F51:H51"/>
    <mergeCell ref="J49:M49"/>
    <mergeCell ref="B50:D50"/>
    <mergeCell ref="J52:L52"/>
    <mergeCell ref="B7:J7"/>
    <mergeCell ref="C24:E24"/>
    <mergeCell ref="I20:K20"/>
    <mergeCell ref="H30:K30"/>
    <mergeCell ref="K8:M8"/>
    <mergeCell ref="B14:M14"/>
    <mergeCell ref="B34:M34"/>
    <mergeCell ref="J55:L55"/>
    <mergeCell ref="B5:M5"/>
    <mergeCell ref="J16:M16"/>
    <mergeCell ref="D13:E13"/>
    <mergeCell ref="G15:H15"/>
    <mergeCell ref="K12:M12"/>
    <mergeCell ref="B46:M46"/>
    <mergeCell ref="B53:D53"/>
    <mergeCell ref="B40:M40"/>
    <mergeCell ref="K11:M11"/>
    <mergeCell ref="C28:E28"/>
    <mergeCell ref="I13:J13"/>
    <mergeCell ref="C21:E21"/>
    <mergeCell ref="E16:F16"/>
    <mergeCell ref="E15:F15"/>
    <mergeCell ref="G16:H16"/>
    <mergeCell ref="C20:E20"/>
    <mergeCell ref="N20:O30"/>
    <mergeCell ref="H2:I2"/>
    <mergeCell ref="B31:M31"/>
    <mergeCell ref="C23:E23"/>
    <mergeCell ref="M64:N64"/>
    <mergeCell ref="B54:D54"/>
    <mergeCell ref="C22:E22"/>
    <mergeCell ref="B58:M58"/>
    <mergeCell ref="I24:K24"/>
    <mergeCell ref="B11:H11"/>
    <mergeCell ref="B38:M38"/>
    <mergeCell ref="A7:A9"/>
    <mergeCell ref="A18:A34"/>
    <mergeCell ref="B39:M39"/>
    <mergeCell ref="B8:J8"/>
    <mergeCell ref="B32:M32"/>
    <mergeCell ref="C25:E25"/>
    <mergeCell ref="B15:D15"/>
    <mergeCell ref="F13:H13"/>
    <mergeCell ref="I21:K21"/>
    <mergeCell ref="D12:E12"/>
    <mergeCell ref="B33:M33"/>
    <mergeCell ref="B9:J9"/>
    <mergeCell ref="C30:E30"/>
    <mergeCell ref="K9:M9"/>
    <mergeCell ref="F12:H12"/>
  </mergeCells>
  <printOptions horizontalCentered="1" verticalCentered="1"/>
  <pageMargins left="0.34" right="0.21" top="0.45" bottom="0.26" header="0.75" footer="0.25"/>
  <pageSetup paperSize="9" scale="62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SM-M315F</dc:creator>
  <cp:lastModifiedBy>Windows User</cp:lastModifiedBy>
  <dcterms:created xsi:type="dcterms:W3CDTF">2022-12-15T06:26:34Z</dcterms:created>
  <dcterms:modified xsi:type="dcterms:W3CDTF">2025-12-05T06:55:12Z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1d28356d901d4b298843e6a885f3f8b4</vt:lpwstr>
  </property>
</Properties>
</file>